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06"/>
  <workbookPr defaultThemeVersion="124226"/>
  <mc:AlternateContent xmlns:mc="http://schemas.openxmlformats.org/markup-compatibility/2006">
    <mc:Choice Requires="x15">
      <x15ac:absPath xmlns:x15ac="http://schemas.microsoft.com/office/spreadsheetml/2010/11/ac" url="D:\Waterlogic Backup\A01 SHAREPOINT FILES\"/>
    </mc:Choice>
  </mc:AlternateContent>
  <xr:revisionPtr revIDLastSave="3" documentId="8_{72C34B62-A1E5-4DEB-BF2D-ED8E37C7A1A0}" xr6:coauthVersionLast="47" xr6:coauthVersionMax="47" xr10:uidLastSave="{C585D6BC-63E5-42A3-B7EE-4A71C55F8FD7}"/>
  <workbookProtection workbookPassword="CA07" lockStructure="1"/>
  <bookViews>
    <workbookView xWindow="0" yWindow="0" windowWidth="23040" windowHeight="9060" xr2:uid="{00000000-000D-0000-FFFF-FFFF00000000}"/>
  </bookViews>
  <sheets>
    <sheet name="Assumptions" sheetId="3" r:id="rId1"/>
    <sheet name="Busines Plan" sheetId="1" r:id="rId2"/>
    <sheet name="Quarterly Rollup" sheetId="4" r:id="rId3"/>
  </sheets>
  <definedNames>
    <definedName name="_Regression_Int" localSheetId="1" hidden="1">1</definedName>
    <definedName name="_xlnm.Print_Area" localSheetId="1">'Busines Plan'!$A$1:$R$108</definedName>
    <definedName name="Print_Area_MI">'Busines Plan'!$E$9:$R$54</definedName>
    <definedName name="Print_Titles_MI" localSheetId="1">'Busines Plan'!$2:$4,'Busines Plan'!$A:$D</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3" l="1"/>
  <c r="F28" i="3"/>
  <c r="F29" i="3"/>
  <c r="N60" i="1" s="1"/>
  <c r="G64" i="3"/>
  <c r="H64" i="3" s="1"/>
  <c r="G65" i="3"/>
  <c r="G66" i="3"/>
  <c r="H66" i="3" s="1"/>
  <c r="I66" i="3" s="1"/>
  <c r="J66" i="3" s="1"/>
  <c r="K66" i="3" s="1"/>
  <c r="L66" i="3" s="1"/>
  <c r="M66" i="3" s="1"/>
  <c r="N66" i="3" s="1"/>
  <c r="O66" i="3" s="1"/>
  <c r="P66" i="3" s="1"/>
  <c r="Q66" i="3" s="1"/>
  <c r="R66" i="3" s="1"/>
  <c r="S66" i="3" s="1"/>
  <c r="T66" i="3" s="1"/>
  <c r="U66" i="3" s="1"/>
  <c r="V66" i="3" s="1"/>
  <c r="W66" i="3" s="1"/>
  <c r="X66" i="3" s="1"/>
  <c r="Y66" i="3" s="1"/>
  <c r="Z66" i="3" s="1"/>
  <c r="AA66" i="3" s="1"/>
  <c r="AB66" i="3" s="1"/>
  <c r="AC66" i="3" s="1"/>
  <c r="M68" i="3"/>
  <c r="N68" i="3" s="1"/>
  <c r="O68" i="3" s="1"/>
  <c r="P68" i="3" s="1"/>
  <c r="Q68" i="3" s="1"/>
  <c r="R68" i="3" s="1"/>
  <c r="S68" i="3" s="1"/>
  <c r="T68" i="3" s="1"/>
  <c r="U68" i="3" s="1"/>
  <c r="V68" i="3" s="1"/>
  <c r="W68" i="3" s="1"/>
  <c r="X68" i="3" s="1"/>
  <c r="Y68" i="3" s="1"/>
  <c r="Z68" i="3" s="1"/>
  <c r="AA68" i="3" s="1"/>
  <c r="AB68" i="3" s="1"/>
  <c r="AC68" i="3" s="1"/>
  <c r="R53" i="3"/>
  <c r="R56" i="3" s="1"/>
  <c r="S69" i="3"/>
  <c r="T69" i="3"/>
  <c r="U69" i="3" s="1"/>
  <c r="V69" i="3" s="1"/>
  <c r="W69" i="3" s="1"/>
  <c r="X69" i="3" s="1"/>
  <c r="Y69" i="3" s="1"/>
  <c r="Z69" i="3" s="1"/>
  <c r="AA69" i="3" s="1"/>
  <c r="AB69" i="3" s="1"/>
  <c r="AC69" i="3" s="1"/>
  <c r="S53" i="3"/>
  <c r="S56" i="3" s="1"/>
  <c r="T53" i="3"/>
  <c r="U53" i="3"/>
  <c r="V53" i="3"/>
  <c r="V54" i="3" s="1"/>
  <c r="W53" i="3"/>
  <c r="W54" i="3" s="1"/>
  <c r="X53" i="3"/>
  <c r="X54" i="3" s="1"/>
  <c r="Y53" i="3"/>
  <c r="Z53" i="3"/>
  <c r="AA53" i="3"/>
  <c r="AA54" i="3" s="1"/>
  <c r="AB53" i="3"/>
  <c r="AC53" i="3"/>
  <c r="E74" i="1"/>
  <c r="E75" i="1"/>
  <c r="E78" i="1"/>
  <c r="F74" i="1"/>
  <c r="F75" i="1"/>
  <c r="F78" i="1"/>
  <c r="G74" i="1"/>
  <c r="G75" i="1"/>
  <c r="G78" i="1"/>
  <c r="T54" i="3"/>
  <c r="H74" i="1"/>
  <c r="H75" i="1"/>
  <c r="H78" i="1"/>
  <c r="U54" i="3"/>
  <c r="U55" i="3"/>
  <c r="I74" i="1"/>
  <c r="I75" i="1"/>
  <c r="I78" i="1"/>
  <c r="J74" i="1"/>
  <c r="J75" i="1"/>
  <c r="J78" i="1"/>
  <c r="K74" i="1"/>
  <c r="K75" i="1"/>
  <c r="K78" i="1"/>
  <c r="L74" i="1"/>
  <c r="L75" i="1"/>
  <c r="L78" i="1"/>
  <c r="Y54" i="3"/>
  <c r="Y55" i="3" s="1"/>
  <c r="M74" i="1"/>
  <c r="M75" i="1"/>
  <c r="M78" i="1"/>
  <c r="Z54" i="3"/>
  <c r="Z55" i="3" s="1"/>
  <c r="N74" i="1"/>
  <c r="N75" i="1"/>
  <c r="N78" i="1"/>
  <c r="AA56" i="3"/>
  <c r="O74" i="1"/>
  <c r="O75" i="1"/>
  <c r="O78" i="1"/>
  <c r="AB54" i="3"/>
  <c r="AB57" i="3" s="1"/>
  <c r="P74" i="1"/>
  <c r="P75" i="1"/>
  <c r="P78" i="1"/>
  <c r="AC56" i="3"/>
  <c r="AC54" i="3"/>
  <c r="Q87" i="1"/>
  <c r="Q88" i="1"/>
  <c r="Q90" i="1"/>
  <c r="Q91" i="1"/>
  <c r="Q92" i="1"/>
  <c r="Q93" i="1"/>
  <c r="Q95" i="1"/>
  <c r="Q96" i="1"/>
  <c r="Q97" i="1"/>
  <c r="Q99" i="1"/>
  <c r="Q100" i="1"/>
  <c r="Q101" i="1"/>
  <c r="N6" i="1"/>
  <c r="N10" i="1" s="1"/>
  <c r="N26" i="1" s="1"/>
  <c r="J6" i="1"/>
  <c r="F6" i="1"/>
  <c r="Q67" i="1"/>
  <c r="Q68" i="1"/>
  <c r="Q69" i="1"/>
  <c r="F20" i="1"/>
  <c r="F21" i="1"/>
  <c r="F24" i="1"/>
  <c r="G53" i="3"/>
  <c r="G54" i="3" s="1"/>
  <c r="G76" i="3"/>
  <c r="F44" i="1" s="1"/>
  <c r="G20" i="1"/>
  <c r="G21" i="1"/>
  <c r="G24" i="1"/>
  <c r="H53" i="3"/>
  <c r="H20" i="1"/>
  <c r="H21" i="1"/>
  <c r="H24" i="1"/>
  <c r="I53" i="3"/>
  <c r="I56" i="3" s="1"/>
  <c r="I20" i="1"/>
  <c r="I21" i="1"/>
  <c r="I24" i="1"/>
  <c r="J53" i="3"/>
  <c r="J56" i="3" s="1"/>
  <c r="J20" i="1"/>
  <c r="J21" i="1"/>
  <c r="J24" i="1"/>
  <c r="K53" i="3"/>
  <c r="K54" i="3" s="1"/>
  <c r="K20" i="1"/>
  <c r="K21" i="1"/>
  <c r="K24" i="1"/>
  <c r="L53" i="3"/>
  <c r="L20" i="1"/>
  <c r="L21" i="1"/>
  <c r="L24" i="1"/>
  <c r="M53" i="3"/>
  <c r="M20" i="1"/>
  <c r="M21" i="1"/>
  <c r="M24" i="1"/>
  <c r="N53" i="3"/>
  <c r="N56" i="3" s="1"/>
  <c r="N20" i="1"/>
  <c r="N21" i="1"/>
  <c r="N24" i="1"/>
  <c r="O53" i="3"/>
  <c r="O54" i="3" s="1"/>
  <c r="O20" i="1"/>
  <c r="O21" i="1"/>
  <c r="O24" i="1"/>
  <c r="P53" i="3"/>
  <c r="P56" i="3" s="1"/>
  <c r="P20" i="1"/>
  <c r="P21" i="1"/>
  <c r="P24" i="1"/>
  <c r="Q53" i="3"/>
  <c r="Q56" i="3"/>
  <c r="E20" i="1"/>
  <c r="E21" i="1"/>
  <c r="E24" i="1"/>
  <c r="F53" i="3"/>
  <c r="F54" i="3" s="1"/>
  <c r="F76" i="3"/>
  <c r="E44" i="1" s="1"/>
  <c r="Q13" i="1"/>
  <c r="Q14" i="1"/>
  <c r="Q15" i="1"/>
  <c r="E48" i="4"/>
  <c r="E49" i="4"/>
  <c r="E51" i="4"/>
  <c r="E52" i="4"/>
  <c r="E53" i="4"/>
  <c r="E54" i="4"/>
  <c r="E56" i="4"/>
  <c r="E57" i="4"/>
  <c r="E58" i="4"/>
  <c r="E60" i="4"/>
  <c r="E61" i="4"/>
  <c r="E62" i="4"/>
  <c r="D48" i="4"/>
  <c r="D49" i="4"/>
  <c r="D51" i="4"/>
  <c r="D52" i="4"/>
  <c r="D53" i="4"/>
  <c r="D54" i="4"/>
  <c r="D56" i="4"/>
  <c r="D57" i="4"/>
  <c r="D58" i="4"/>
  <c r="D60" i="4"/>
  <c r="D61" i="4"/>
  <c r="D62" i="4"/>
  <c r="C48" i="4"/>
  <c r="C49" i="4"/>
  <c r="C51" i="4"/>
  <c r="C52" i="4"/>
  <c r="C53" i="4"/>
  <c r="C54" i="4"/>
  <c r="C56" i="4"/>
  <c r="C57" i="4"/>
  <c r="C58" i="4"/>
  <c r="C60" i="4"/>
  <c r="C61" i="4"/>
  <c r="C62" i="4"/>
  <c r="F48" i="4"/>
  <c r="G48" i="4" s="1"/>
  <c r="F49" i="4"/>
  <c r="F51" i="4"/>
  <c r="F52" i="4"/>
  <c r="G52" i="4" s="1"/>
  <c r="F53" i="4"/>
  <c r="F54" i="4"/>
  <c r="F56" i="4"/>
  <c r="F57" i="4"/>
  <c r="F58" i="4"/>
  <c r="F60" i="4"/>
  <c r="F61" i="4"/>
  <c r="F62" i="4"/>
  <c r="C13" i="4"/>
  <c r="D13" i="4"/>
  <c r="E13" i="4"/>
  <c r="F13" i="4"/>
  <c r="G13" i="4" s="1"/>
  <c r="C14" i="4"/>
  <c r="D14" i="4"/>
  <c r="E14" i="4"/>
  <c r="F14" i="4"/>
  <c r="F78" i="3"/>
  <c r="E35" i="1" s="1"/>
  <c r="C16" i="4"/>
  <c r="D16" i="4"/>
  <c r="E16" i="4"/>
  <c r="F16" i="4"/>
  <c r="C17" i="4"/>
  <c r="D17" i="4"/>
  <c r="E17" i="4"/>
  <c r="F17" i="4"/>
  <c r="C18" i="4"/>
  <c r="D18" i="4"/>
  <c r="E18" i="4"/>
  <c r="F18" i="4"/>
  <c r="C19" i="4"/>
  <c r="D19" i="4"/>
  <c r="E19" i="4"/>
  <c r="F19" i="4"/>
  <c r="C21" i="4"/>
  <c r="D21" i="4"/>
  <c r="E21" i="4"/>
  <c r="F21" i="4"/>
  <c r="C22" i="4"/>
  <c r="D22" i="4"/>
  <c r="E22" i="4"/>
  <c r="F22" i="4"/>
  <c r="C23" i="4"/>
  <c r="D23" i="4"/>
  <c r="E23" i="4"/>
  <c r="F23" i="4"/>
  <c r="C25" i="4"/>
  <c r="D25" i="4"/>
  <c r="E25" i="4"/>
  <c r="F25" i="4"/>
  <c r="C26" i="4"/>
  <c r="D26" i="4"/>
  <c r="E26" i="4"/>
  <c r="F26" i="4"/>
  <c r="C27" i="4"/>
  <c r="D27" i="4"/>
  <c r="E27" i="4"/>
  <c r="F27" i="4"/>
  <c r="Q33" i="1"/>
  <c r="Q34" i="1"/>
  <c r="Q36" i="1"/>
  <c r="Q37" i="1"/>
  <c r="Q38" i="1"/>
  <c r="Q39" i="1"/>
  <c r="Q41" i="1"/>
  <c r="Q42" i="1"/>
  <c r="Q43" i="1"/>
  <c r="Q45" i="1"/>
  <c r="Q46" i="1"/>
  <c r="Q47" i="1"/>
  <c r="E4" i="1"/>
  <c r="F4" i="1" s="1"/>
  <c r="G4" i="1" s="1"/>
  <c r="H4" i="1" s="1"/>
  <c r="I4" i="1" s="1"/>
  <c r="J4" i="1" s="1"/>
  <c r="K4" i="1" s="1"/>
  <c r="L4" i="1" s="1"/>
  <c r="M4" i="1" s="1"/>
  <c r="N4" i="1" s="1"/>
  <c r="O4" i="1" s="1"/>
  <c r="P4" i="1" s="1"/>
  <c r="E58" i="1" s="1"/>
  <c r="F58" i="1" s="1"/>
  <c r="G58" i="1" s="1"/>
  <c r="H58" i="1" s="1"/>
  <c r="I58" i="1" s="1"/>
  <c r="J58" i="1" s="1"/>
  <c r="K58" i="1" s="1"/>
  <c r="L58" i="1" s="1"/>
  <c r="M58" i="1" s="1"/>
  <c r="N58" i="1" s="1"/>
  <c r="O58" i="1" s="1"/>
  <c r="P58" i="1" s="1"/>
  <c r="F33" i="3"/>
  <c r="F52" i="3" s="1"/>
  <c r="G52" i="3" s="1"/>
  <c r="H52" i="3" s="1"/>
  <c r="I52" i="3" s="1"/>
  <c r="J52" i="3" s="1"/>
  <c r="K52" i="3" s="1"/>
  <c r="L52" i="3" s="1"/>
  <c r="M52" i="3" s="1"/>
  <c r="N52" i="3" s="1"/>
  <c r="O52" i="3" s="1"/>
  <c r="P52" i="3" s="1"/>
  <c r="Q52" i="3" s="1"/>
  <c r="R52" i="3" s="1"/>
  <c r="S52" i="3" s="1"/>
  <c r="T52" i="3" s="1"/>
  <c r="U52" i="3" s="1"/>
  <c r="V52" i="3" s="1"/>
  <c r="W52" i="3" s="1"/>
  <c r="X52" i="3" s="1"/>
  <c r="Y52" i="3" s="1"/>
  <c r="Z52" i="3" s="1"/>
  <c r="AA52" i="3" s="1"/>
  <c r="AB52" i="3" s="1"/>
  <c r="AC52" i="3" s="1"/>
  <c r="F51" i="3"/>
  <c r="G51" i="3"/>
  <c r="H51" i="3" s="1"/>
  <c r="I51" i="3" s="1"/>
  <c r="J51" i="3" s="1"/>
  <c r="K51" i="3" s="1"/>
  <c r="L51" i="3" s="1"/>
  <c r="M51" i="3" s="1"/>
  <c r="N51" i="3" s="1"/>
  <c r="O51" i="3" s="1"/>
  <c r="P51" i="3" s="1"/>
  <c r="Q51" i="3" s="1"/>
  <c r="R51" i="3" s="1"/>
  <c r="S51" i="3" s="1"/>
  <c r="T51" i="3" s="1"/>
  <c r="U51" i="3" s="1"/>
  <c r="V51" i="3" s="1"/>
  <c r="W51" i="3" s="1"/>
  <c r="X51" i="3" s="1"/>
  <c r="Y51" i="3" s="1"/>
  <c r="Z51" i="3" s="1"/>
  <c r="AA51" i="3" s="1"/>
  <c r="AB51" i="3" s="1"/>
  <c r="AC51" i="3" s="1"/>
  <c r="F32" i="3"/>
  <c r="G32" i="3"/>
  <c r="H32" i="3"/>
  <c r="I32" i="3" s="1"/>
  <c r="J32" i="3" s="1"/>
  <c r="K32" i="3" s="1"/>
  <c r="L32" i="3" s="1"/>
  <c r="M32" i="3" s="1"/>
  <c r="N32" i="3" s="1"/>
  <c r="O32" i="3" s="1"/>
  <c r="P32" i="3" s="1"/>
  <c r="Q32" i="3" s="1"/>
  <c r="R32" i="3" s="1"/>
  <c r="S32" i="3" s="1"/>
  <c r="T32" i="3" s="1"/>
  <c r="U32" i="3" s="1"/>
  <c r="V32" i="3" s="1"/>
  <c r="W32" i="3" s="1"/>
  <c r="X32" i="3" s="1"/>
  <c r="Y32" i="3" s="1"/>
  <c r="Z32" i="3" s="1"/>
  <c r="AA32" i="3" s="1"/>
  <c r="AB32" i="3" s="1"/>
  <c r="AC32" i="3" s="1"/>
  <c r="G3" i="1"/>
  <c r="H3" i="1" s="1"/>
  <c r="I3" i="1" s="1"/>
  <c r="J3" i="1" s="1"/>
  <c r="K3" i="1" s="1"/>
  <c r="L3" i="1" s="1"/>
  <c r="M3" i="1" s="1"/>
  <c r="N3" i="1" s="1"/>
  <c r="O3" i="1" s="1"/>
  <c r="P3" i="1" s="1"/>
  <c r="E57" i="1" s="1"/>
  <c r="F57" i="1" s="1"/>
  <c r="G57" i="1" s="1"/>
  <c r="H57" i="1" s="1"/>
  <c r="I57" i="1" s="1"/>
  <c r="J57" i="1" s="1"/>
  <c r="K57" i="1" s="1"/>
  <c r="L57" i="1" s="1"/>
  <c r="M57" i="1" s="1"/>
  <c r="N57" i="1" s="1"/>
  <c r="O57" i="1" s="1"/>
  <c r="P57" i="1" s="1"/>
  <c r="N54" i="3"/>
  <c r="N57" i="3" s="1"/>
  <c r="P54" i="3"/>
  <c r="AB56" i="3"/>
  <c r="N77" i="1"/>
  <c r="Y57" i="3"/>
  <c r="X56" i="3"/>
  <c r="U57" i="3"/>
  <c r="T56" i="3"/>
  <c r="I60" i="1"/>
  <c r="F60" i="1"/>
  <c r="F73" i="1"/>
  <c r="Y56" i="3"/>
  <c r="U56" i="3"/>
  <c r="K60" i="1"/>
  <c r="H60" i="1"/>
  <c r="H64" i="1" s="1"/>
  <c r="H76" i="1"/>
  <c r="N23" i="1"/>
  <c r="Z56" i="3"/>
  <c r="V56" i="3"/>
  <c r="M60" i="1"/>
  <c r="M76" i="1" s="1"/>
  <c r="E60" i="1"/>
  <c r="E77" i="1" s="1"/>
  <c r="J54" i="3"/>
  <c r="J55" i="3" s="1"/>
  <c r="J59" i="3" s="1"/>
  <c r="AB55" i="3"/>
  <c r="J60" i="1"/>
  <c r="J73" i="1" s="1"/>
  <c r="M73" i="1"/>
  <c r="K73" i="1"/>
  <c r="K76" i="1"/>
  <c r="K77" i="1"/>
  <c r="K64" i="1"/>
  <c r="K86" i="1" s="1"/>
  <c r="H80" i="1"/>
  <c r="J57" i="3"/>
  <c r="E64" i="1"/>
  <c r="P55" i="3"/>
  <c r="P57" i="3"/>
  <c r="H86" i="1"/>
  <c r="K80" i="1"/>
  <c r="J58" i="3"/>
  <c r="H77" i="1"/>
  <c r="M64" i="1"/>
  <c r="M86" i="1" s="1"/>
  <c r="Q75" i="1"/>
  <c r="N76" i="1"/>
  <c r="L54" i="3"/>
  <c r="L57" i="3" s="1"/>
  <c r="L56" i="3"/>
  <c r="F19" i="1"/>
  <c r="F22" i="1"/>
  <c r="G78" i="3"/>
  <c r="F35" i="1" s="1"/>
  <c r="H65" i="3"/>
  <c r="H73" i="1"/>
  <c r="G60" i="4"/>
  <c r="G54" i="4"/>
  <c r="M54" i="3"/>
  <c r="M56" i="3"/>
  <c r="N19" i="1"/>
  <c r="N22" i="1"/>
  <c r="I6" i="1"/>
  <c r="M6" i="1"/>
  <c r="M10" i="1" s="1"/>
  <c r="M26" i="1" s="1"/>
  <c r="Q54" i="3"/>
  <c r="Q57" i="3" s="1"/>
  <c r="I54" i="3"/>
  <c r="I57" i="3" s="1"/>
  <c r="G56" i="3"/>
  <c r="G6" i="1"/>
  <c r="K6" i="1"/>
  <c r="K23" i="1" s="1"/>
  <c r="O6" i="1"/>
  <c r="O22" i="1" s="1"/>
  <c r="E6" i="1"/>
  <c r="E19" i="1" s="1"/>
  <c r="H6" i="1"/>
  <c r="H10" i="1" s="1"/>
  <c r="H26" i="1" s="1"/>
  <c r="L6" i="1"/>
  <c r="P6" i="1"/>
  <c r="P10" i="1" s="1"/>
  <c r="P26" i="1" s="1"/>
  <c r="O60" i="1"/>
  <c r="E7" i="1"/>
  <c r="E11" i="1" s="1"/>
  <c r="E10" i="1"/>
  <c r="P22" i="1"/>
  <c r="P19" i="1"/>
  <c r="P23" i="1"/>
  <c r="I19" i="1"/>
  <c r="M80" i="1"/>
  <c r="I55" i="3"/>
  <c r="I59" i="3" s="1"/>
  <c r="I65" i="3"/>
  <c r="J65" i="3" s="1"/>
  <c r="K65" i="3" s="1"/>
  <c r="L65" i="3" s="1"/>
  <c r="M65" i="3" s="1"/>
  <c r="N65" i="3" s="1"/>
  <c r="O65" i="3" s="1"/>
  <c r="P65" i="3" s="1"/>
  <c r="Q65" i="3" s="1"/>
  <c r="R65" i="3" s="1"/>
  <c r="S65" i="3" s="1"/>
  <c r="T65" i="3" s="1"/>
  <c r="U65" i="3" s="1"/>
  <c r="V65" i="3" s="1"/>
  <c r="W65" i="3" s="1"/>
  <c r="X65" i="3" s="1"/>
  <c r="Y65" i="3" s="1"/>
  <c r="Z65" i="3" s="1"/>
  <c r="AA65" i="3" s="1"/>
  <c r="AB65" i="3" s="1"/>
  <c r="AC65" i="3" s="1"/>
  <c r="O76" i="1"/>
  <c r="O23" i="1"/>
  <c r="H22" i="1"/>
  <c r="H19" i="1"/>
  <c r="H23" i="1"/>
  <c r="G19" i="1"/>
  <c r="M55" i="3"/>
  <c r="M58" i="3" s="1"/>
  <c r="M57" i="3"/>
  <c r="I58" i="3"/>
  <c r="E26" i="1"/>
  <c r="E16" i="1" l="1"/>
  <c r="G27" i="4"/>
  <c r="G25" i="4"/>
  <c r="G17" i="4"/>
  <c r="G14" i="4"/>
  <c r="G62" i="4"/>
  <c r="G61" i="4"/>
  <c r="G53" i="4"/>
  <c r="G60" i="1"/>
  <c r="G57" i="3"/>
  <c r="G55" i="3"/>
  <c r="X55" i="3"/>
  <c r="X57" i="3"/>
  <c r="AA57" i="3"/>
  <c r="AA55" i="3"/>
  <c r="W56" i="3"/>
  <c r="M59" i="3"/>
  <c r="M60" i="3" s="1"/>
  <c r="L25" i="1" s="1"/>
  <c r="J76" i="1"/>
  <c r="G18" i="4"/>
  <c r="E23" i="1"/>
  <c r="E73" i="1"/>
  <c r="J64" i="1"/>
  <c r="M77" i="1"/>
  <c r="G16" i="4"/>
  <c r="S54" i="3"/>
  <c r="F56" i="3"/>
  <c r="Z57" i="3"/>
  <c r="G19" i="4"/>
  <c r="Q55" i="3"/>
  <c r="O10" i="1"/>
  <c r="O26" i="1" s="1"/>
  <c r="M22" i="1"/>
  <c r="E76" i="1"/>
  <c r="G22" i="4"/>
  <c r="G57" i="4"/>
  <c r="H76" i="3"/>
  <c r="G44" i="1" s="1"/>
  <c r="O19" i="1"/>
  <c r="M19" i="1"/>
  <c r="E22" i="1"/>
  <c r="G58" i="4"/>
  <c r="M23" i="1"/>
  <c r="G26" i="4"/>
  <c r="G23" i="4"/>
  <c r="G51" i="4"/>
  <c r="J77" i="1"/>
  <c r="G33" i="3"/>
  <c r="H33" i="3" s="1"/>
  <c r="I33" i="3" s="1"/>
  <c r="J33" i="3" s="1"/>
  <c r="K33" i="3" s="1"/>
  <c r="L33" i="3" s="1"/>
  <c r="M33" i="3" s="1"/>
  <c r="N33" i="3" s="1"/>
  <c r="O33" i="3" s="1"/>
  <c r="P33" i="3" s="1"/>
  <c r="Q33" i="3" s="1"/>
  <c r="R33" i="3" s="1"/>
  <c r="S33" i="3" s="1"/>
  <c r="T33" i="3" s="1"/>
  <c r="U33" i="3" s="1"/>
  <c r="V33" i="3" s="1"/>
  <c r="W33" i="3" s="1"/>
  <c r="X33" i="3" s="1"/>
  <c r="Y33" i="3" s="1"/>
  <c r="Z33" i="3" s="1"/>
  <c r="AA33" i="3" s="1"/>
  <c r="AB33" i="3" s="1"/>
  <c r="AC33" i="3" s="1"/>
  <c r="G21" i="4"/>
  <c r="G49" i="4"/>
  <c r="E32" i="1"/>
  <c r="O64" i="1"/>
  <c r="O77" i="1"/>
  <c r="O73" i="1"/>
  <c r="G10" i="1"/>
  <c r="X58" i="3"/>
  <c r="X59" i="3"/>
  <c r="I73" i="1"/>
  <c r="I64" i="1"/>
  <c r="I76" i="1"/>
  <c r="I64" i="3"/>
  <c r="K55" i="3"/>
  <c r="K57" i="3"/>
  <c r="AB58" i="3"/>
  <c r="AB59" i="3"/>
  <c r="F57" i="3"/>
  <c r="F55" i="3"/>
  <c r="Q6" i="1"/>
  <c r="L23" i="1"/>
  <c r="L10" i="1"/>
  <c r="L19" i="1"/>
  <c r="L22" i="1"/>
  <c r="Q24" i="1"/>
  <c r="AC55" i="3"/>
  <c r="AC57" i="3"/>
  <c r="Z59" i="3"/>
  <c r="Z58" i="3"/>
  <c r="Z60" i="3" s="1"/>
  <c r="M79" i="1" s="1"/>
  <c r="Q78" i="1"/>
  <c r="G22" i="1"/>
  <c r="G56" i="4"/>
  <c r="Q21" i="1"/>
  <c r="F10" i="1"/>
  <c r="F7" i="1"/>
  <c r="F11" i="1" s="1"/>
  <c r="F23" i="1"/>
  <c r="T55" i="3"/>
  <c r="T57" i="3"/>
  <c r="G23" i="1"/>
  <c r="E86" i="1"/>
  <c r="H78" i="3"/>
  <c r="G35" i="1" s="1"/>
  <c r="H54" i="3"/>
  <c r="H56" i="3"/>
  <c r="N64" i="1"/>
  <c r="N73" i="1"/>
  <c r="J86" i="1"/>
  <c r="J80" i="1"/>
  <c r="J60" i="3"/>
  <c r="I25" i="1" s="1"/>
  <c r="I60" i="3"/>
  <c r="H25" i="1" s="1"/>
  <c r="H27" i="1" s="1"/>
  <c r="I23" i="1"/>
  <c r="I22" i="1"/>
  <c r="I10" i="1"/>
  <c r="E80" i="1"/>
  <c r="I77" i="1"/>
  <c r="O55" i="3"/>
  <c r="O57" i="3"/>
  <c r="Y58" i="3"/>
  <c r="Y59" i="3"/>
  <c r="U58" i="3"/>
  <c r="U59" i="3"/>
  <c r="W57" i="3"/>
  <c r="W55" i="3"/>
  <c r="Q20" i="1"/>
  <c r="J22" i="1"/>
  <c r="J23" i="1"/>
  <c r="J19" i="1"/>
  <c r="J10" i="1"/>
  <c r="K22" i="1"/>
  <c r="K10" i="1"/>
  <c r="K19" i="1"/>
  <c r="P59" i="3"/>
  <c r="P58" i="3"/>
  <c r="P60" i="3" s="1"/>
  <c r="O25" i="1" s="1"/>
  <c r="O27" i="1" s="1"/>
  <c r="F77" i="1"/>
  <c r="F76" i="1"/>
  <c r="F64" i="1"/>
  <c r="C24" i="4"/>
  <c r="K56" i="3"/>
  <c r="Q74" i="1"/>
  <c r="V55" i="3"/>
  <c r="V57" i="3"/>
  <c r="G64" i="1"/>
  <c r="G73" i="1"/>
  <c r="O56" i="3"/>
  <c r="P60" i="1"/>
  <c r="R54" i="3"/>
  <c r="L55" i="3"/>
  <c r="N55" i="3"/>
  <c r="L60" i="1"/>
  <c r="G76" i="1" l="1"/>
  <c r="G77" i="1"/>
  <c r="U60" i="3"/>
  <c r="H79" i="1" s="1"/>
  <c r="Q58" i="3"/>
  <c r="Q59" i="3"/>
  <c r="S55" i="3"/>
  <c r="S57" i="3"/>
  <c r="AA58" i="3"/>
  <c r="AA59" i="3"/>
  <c r="Y60" i="3"/>
  <c r="L79" i="1" s="1"/>
  <c r="G58" i="3"/>
  <c r="G59" i="3"/>
  <c r="AB60" i="3"/>
  <c r="O79" i="1" s="1"/>
  <c r="G60" i="3"/>
  <c r="F25" i="1" s="1"/>
  <c r="F40" i="1" s="1"/>
  <c r="M94" i="1"/>
  <c r="M81" i="1"/>
  <c r="O94" i="1"/>
  <c r="O58" i="3"/>
  <c r="O59" i="3"/>
  <c r="O60" i="3" s="1"/>
  <c r="N25" i="1" s="1"/>
  <c r="J26" i="1"/>
  <c r="G86" i="1"/>
  <c r="G80" i="1"/>
  <c r="AC59" i="3"/>
  <c r="AC58" i="3"/>
  <c r="G7" i="1"/>
  <c r="W58" i="3"/>
  <c r="W59" i="3"/>
  <c r="L73" i="1"/>
  <c r="L64" i="1"/>
  <c r="L77" i="1"/>
  <c r="L76" i="1"/>
  <c r="L94" i="1" s="1"/>
  <c r="F86" i="1"/>
  <c r="F80" i="1"/>
  <c r="H57" i="3"/>
  <c r="H55" i="3"/>
  <c r="Q19" i="1"/>
  <c r="I86" i="1"/>
  <c r="I80" i="1"/>
  <c r="G26" i="1"/>
  <c r="L26" i="1"/>
  <c r="L27" i="1" s="1"/>
  <c r="N59" i="3"/>
  <c r="N58" i="3"/>
  <c r="V59" i="3"/>
  <c r="V58" i="3"/>
  <c r="V60" i="3" s="1"/>
  <c r="I79" i="1" s="1"/>
  <c r="K26" i="1"/>
  <c r="C15" i="4"/>
  <c r="L58" i="3"/>
  <c r="L59" i="3"/>
  <c r="Q60" i="1"/>
  <c r="T58" i="3"/>
  <c r="T59" i="3"/>
  <c r="N86" i="1"/>
  <c r="N80" i="1"/>
  <c r="I78" i="3"/>
  <c r="H35" i="1" s="1"/>
  <c r="J64" i="3"/>
  <c r="I76" i="3"/>
  <c r="H44" i="1" s="1"/>
  <c r="R55" i="3"/>
  <c r="R57" i="3"/>
  <c r="Q22" i="1"/>
  <c r="I26" i="1"/>
  <c r="I27" i="1" s="1"/>
  <c r="F58" i="3"/>
  <c r="F59" i="3"/>
  <c r="X60" i="3"/>
  <c r="K79" i="1" s="1"/>
  <c r="O86" i="1"/>
  <c r="O80" i="1"/>
  <c r="O81" i="1" s="1"/>
  <c r="Q10" i="1"/>
  <c r="F26" i="1"/>
  <c r="F16" i="1"/>
  <c r="P76" i="1"/>
  <c r="P73" i="1"/>
  <c r="P64" i="1"/>
  <c r="P77" i="1"/>
  <c r="Q77" i="1" s="1"/>
  <c r="Q23" i="1"/>
  <c r="K59" i="3"/>
  <c r="K58" i="3"/>
  <c r="K60" i="3" s="1"/>
  <c r="J25" i="1" s="1"/>
  <c r="J27" i="1" s="1"/>
  <c r="T60" i="3" l="1"/>
  <c r="G79" i="1" s="1"/>
  <c r="G94" i="1" s="1"/>
  <c r="Q64" i="1"/>
  <c r="W60" i="3"/>
  <c r="J79" i="1" s="1"/>
  <c r="Q60" i="3"/>
  <c r="P25" i="1" s="1"/>
  <c r="P27" i="1" s="1"/>
  <c r="AA60" i="3"/>
  <c r="N79" i="1" s="1"/>
  <c r="Q73" i="1"/>
  <c r="S59" i="3"/>
  <c r="S58" i="3"/>
  <c r="S60" i="3"/>
  <c r="F79" i="1" s="1"/>
  <c r="F94" i="1" s="1"/>
  <c r="F81" i="1"/>
  <c r="H94" i="1"/>
  <c r="H81" i="1"/>
  <c r="D7" i="4"/>
  <c r="Q76" i="1"/>
  <c r="C47" i="4"/>
  <c r="AC60" i="3"/>
  <c r="P79" i="1" s="1"/>
  <c r="N27" i="1"/>
  <c r="F7" i="4" s="1"/>
  <c r="I94" i="1"/>
  <c r="I81" i="1"/>
  <c r="J94" i="1"/>
  <c r="J81" i="1"/>
  <c r="K81" i="1"/>
  <c r="K94" i="1"/>
  <c r="E55" i="4" s="1"/>
  <c r="F60" i="3"/>
  <c r="E25" i="1" s="1"/>
  <c r="H7" i="1"/>
  <c r="G11" i="1"/>
  <c r="Q26" i="1"/>
  <c r="F27" i="1"/>
  <c r="F29" i="1" s="1"/>
  <c r="H58" i="3"/>
  <c r="H59" i="3"/>
  <c r="R59" i="3"/>
  <c r="R58" i="3"/>
  <c r="R60" i="3" s="1"/>
  <c r="E79" i="1" s="1"/>
  <c r="N60" i="3"/>
  <c r="M25" i="1" s="1"/>
  <c r="L86" i="1"/>
  <c r="L80" i="1"/>
  <c r="F32" i="1"/>
  <c r="P86" i="1"/>
  <c r="P80" i="1"/>
  <c r="K64" i="3"/>
  <c r="J78" i="3"/>
  <c r="I35" i="1" s="1"/>
  <c r="J76" i="3"/>
  <c r="I44" i="1" s="1"/>
  <c r="I40" i="1" s="1"/>
  <c r="L60" i="3"/>
  <c r="K25" i="1" s="1"/>
  <c r="L81" i="1"/>
  <c r="H40" i="1"/>
  <c r="D47" i="4"/>
  <c r="P94" i="1"/>
  <c r="G81" i="1"/>
  <c r="Q80" i="1" l="1"/>
  <c r="D55" i="4"/>
  <c r="P81" i="1"/>
  <c r="H60" i="3"/>
  <c r="G25" i="1" s="1"/>
  <c r="G27" i="1" s="1"/>
  <c r="N94" i="1"/>
  <c r="F55" i="4" s="1"/>
  <c r="N81" i="1"/>
  <c r="F42" i="4" s="1"/>
  <c r="Q79" i="1"/>
  <c r="E81" i="1"/>
  <c r="C42" i="4" s="1"/>
  <c r="E94" i="1"/>
  <c r="G40" i="1"/>
  <c r="L64" i="3"/>
  <c r="K76" i="3"/>
  <c r="J44" i="1" s="1"/>
  <c r="K78" i="3"/>
  <c r="J35" i="1" s="1"/>
  <c r="D15" i="4" s="1"/>
  <c r="E42" i="4"/>
  <c r="G16" i="1"/>
  <c r="D42" i="4"/>
  <c r="Q25" i="1"/>
  <c r="E27" i="1"/>
  <c r="E40" i="1"/>
  <c r="E47" i="4"/>
  <c r="Q86" i="1"/>
  <c r="H11" i="1"/>
  <c r="H16" i="1" s="1"/>
  <c r="I7" i="1"/>
  <c r="K27" i="1"/>
  <c r="M27" i="1"/>
  <c r="F30" i="1"/>
  <c r="F49" i="1"/>
  <c r="F51" i="1" s="1"/>
  <c r="F47" i="4"/>
  <c r="L78" i="3" l="1"/>
  <c r="K35" i="1" s="1"/>
  <c r="M64" i="3"/>
  <c r="L76" i="3"/>
  <c r="K44" i="1" s="1"/>
  <c r="G47" i="4"/>
  <c r="G29" i="1"/>
  <c r="G32" i="1"/>
  <c r="C5" i="4"/>
  <c r="C20" i="4"/>
  <c r="E49" i="1"/>
  <c r="C55" i="4"/>
  <c r="G55" i="4" s="1"/>
  <c r="Q94" i="1"/>
  <c r="I11" i="1"/>
  <c r="I16" i="1" s="1"/>
  <c r="J7" i="1"/>
  <c r="E7" i="4"/>
  <c r="C7" i="4"/>
  <c r="G7" i="4" s="1"/>
  <c r="E29" i="1"/>
  <c r="G42" i="4"/>
  <c r="H32" i="1"/>
  <c r="H29" i="1"/>
  <c r="Q27" i="1"/>
  <c r="J40" i="1"/>
  <c r="D20" i="4" s="1"/>
  <c r="D24" i="4"/>
  <c r="Q81" i="1"/>
  <c r="E30" i="1" l="1"/>
  <c r="E51" i="1"/>
  <c r="E53" i="1" s="1"/>
  <c r="F53" i="1" s="1"/>
  <c r="K40" i="1"/>
  <c r="H30" i="1"/>
  <c r="J11" i="1"/>
  <c r="J16" i="1" s="1"/>
  <c r="K7" i="1"/>
  <c r="C9" i="4"/>
  <c r="M78" i="3"/>
  <c r="L35" i="1" s="1"/>
  <c r="N64" i="3"/>
  <c r="M76" i="3"/>
  <c r="L44" i="1" s="1"/>
  <c r="G30" i="1"/>
  <c r="H49" i="1"/>
  <c r="H51" i="1" s="1"/>
  <c r="I29" i="1"/>
  <c r="I32" i="1"/>
  <c r="I49" i="1" s="1"/>
  <c r="G49" i="1"/>
  <c r="G51" i="1" s="1"/>
  <c r="C12" i="4"/>
  <c r="K11" i="1" l="1"/>
  <c r="K16" i="1" s="1"/>
  <c r="L7" i="1"/>
  <c r="J32" i="1"/>
  <c r="J49" i="1" s="1"/>
  <c r="J29" i="1"/>
  <c r="G53" i="1"/>
  <c r="H53" i="1" s="1"/>
  <c r="C29" i="4"/>
  <c r="C31" i="4" s="1"/>
  <c r="C33" i="4" s="1"/>
  <c r="L40" i="1"/>
  <c r="N78" i="3"/>
  <c r="M35" i="1" s="1"/>
  <c r="E15" i="4" s="1"/>
  <c r="N76" i="3"/>
  <c r="M44" i="1" s="1"/>
  <c r="M40" i="1" s="1"/>
  <c r="O64" i="3"/>
  <c r="I30" i="1"/>
  <c r="I51" i="1"/>
  <c r="D5" i="4"/>
  <c r="E20" i="4" l="1"/>
  <c r="I53" i="1"/>
  <c r="O78" i="3"/>
  <c r="N35" i="1" s="1"/>
  <c r="O76" i="3"/>
  <c r="N44" i="1" s="1"/>
  <c r="P64" i="3"/>
  <c r="J30" i="1"/>
  <c r="J51" i="1"/>
  <c r="D9" i="4"/>
  <c r="E24" i="4"/>
  <c r="M7" i="1"/>
  <c r="L11" i="1"/>
  <c r="L16" i="1" s="1"/>
  <c r="D12" i="4"/>
  <c r="K32" i="1"/>
  <c r="K29" i="1"/>
  <c r="D29" i="4" l="1"/>
  <c r="M11" i="1"/>
  <c r="M16" i="1" s="1"/>
  <c r="N7" i="1"/>
  <c r="Q64" i="3"/>
  <c r="P78" i="3"/>
  <c r="O35" i="1" s="1"/>
  <c r="P76" i="3"/>
  <c r="O44" i="1" s="1"/>
  <c r="O40" i="1" s="1"/>
  <c r="N40" i="1"/>
  <c r="K30" i="1"/>
  <c r="J53" i="1"/>
  <c r="L29" i="1"/>
  <c r="L32" i="1"/>
  <c r="L49" i="1" s="1"/>
  <c r="K49" i="1"/>
  <c r="K51" i="1" s="1"/>
  <c r="D31" i="4"/>
  <c r="D33" i="4" s="1"/>
  <c r="K53" i="1" l="1"/>
  <c r="Q76" i="3"/>
  <c r="P44" i="1" s="1"/>
  <c r="R64" i="3"/>
  <c r="Q78" i="3"/>
  <c r="P35" i="1" s="1"/>
  <c r="Q35" i="1" s="1"/>
  <c r="N11" i="1"/>
  <c r="N16" i="1" s="1"/>
  <c r="O7" i="1"/>
  <c r="L30" i="1"/>
  <c r="L51" i="1"/>
  <c r="L53" i="1" s="1"/>
  <c r="M32" i="1"/>
  <c r="M49" i="1" s="1"/>
  <c r="M29" i="1"/>
  <c r="E12" i="4"/>
  <c r="F24" i="4"/>
  <c r="G24" i="4" s="1"/>
  <c r="E5" i="4"/>
  <c r="N32" i="1" l="1"/>
  <c r="N29" i="1"/>
  <c r="E29" i="4"/>
  <c r="S64" i="3"/>
  <c r="R76" i="3"/>
  <c r="E98" i="1" s="1"/>
  <c r="R78" i="3"/>
  <c r="E89" i="1" s="1"/>
  <c r="P40" i="1"/>
  <c r="Q44" i="1"/>
  <c r="O11" i="1"/>
  <c r="O16" i="1" s="1"/>
  <c r="P7" i="1"/>
  <c r="M30" i="1"/>
  <c r="M51" i="1"/>
  <c r="M53" i="1" s="1"/>
  <c r="E9" i="4"/>
  <c r="F15" i="4"/>
  <c r="G15" i="4" s="1"/>
  <c r="O32" i="1" l="1"/>
  <c r="O49" i="1" s="1"/>
  <c r="O29" i="1"/>
  <c r="S78" i="3"/>
  <c r="F89" i="1" s="1"/>
  <c r="T64" i="3"/>
  <c r="S76" i="3"/>
  <c r="F98" i="1" s="1"/>
  <c r="E61" i="1"/>
  <c r="P11" i="1"/>
  <c r="F20" i="4"/>
  <c r="G20" i="4" s="1"/>
  <c r="Q40" i="1"/>
  <c r="N30" i="1"/>
  <c r="E103" i="1"/>
  <c r="N49" i="1"/>
  <c r="N51" i="1" s="1"/>
  <c r="N53" i="1" s="1"/>
  <c r="E31" i="4"/>
  <c r="E33" i="4" s="1"/>
  <c r="F103" i="1" l="1"/>
  <c r="E65" i="1"/>
  <c r="F61" i="1"/>
  <c r="T76" i="3"/>
  <c r="G98" i="1" s="1"/>
  <c r="C59" i="4" s="1"/>
  <c r="U64" i="3"/>
  <c r="T78" i="3"/>
  <c r="G89" i="1" s="1"/>
  <c r="O51" i="1"/>
  <c r="O53" i="1" s="1"/>
  <c r="O30" i="1"/>
  <c r="P16" i="1"/>
  <c r="Q11" i="1"/>
  <c r="G103" i="1" l="1"/>
  <c r="C50" i="4"/>
  <c r="Q16" i="1"/>
  <c r="E70" i="1"/>
  <c r="F65" i="1"/>
  <c r="F70" i="1" s="1"/>
  <c r="F83" i="1" s="1"/>
  <c r="G61" i="1"/>
  <c r="U78" i="3"/>
  <c r="H89" i="1" s="1"/>
  <c r="V64" i="3"/>
  <c r="U76" i="3"/>
  <c r="H98" i="1" s="1"/>
  <c r="P32" i="1"/>
  <c r="P29" i="1"/>
  <c r="F5" i="4"/>
  <c r="E83" i="1" l="1"/>
  <c r="P49" i="1"/>
  <c r="P51" i="1" s="1"/>
  <c r="P53" i="1" s="1"/>
  <c r="Q32" i="1"/>
  <c r="F12" i="4"/>
  <c r="R45" i="1"/>
  <c r="R46" i="1"/>
  <c r="R42" i="1"/>
  <c r="R39" i="1"/>
  <c r="R41" i="1"/>
  <c r="R34" i="1"/>
  <c r="Q29" i="1"/>
  <c r="R36" i="1"/>
  <c r="R16" i="1"/>
  <c r="R13" i="1"/>
  <c r="R15" i="1"/>
  <c r="R38" i="1"/>
  <c r="R47" i="1"/>
  <c r="R37" i="1"/>
  <c r="R43" i="1"/>
  <c r="R33" i="1"/>
  <c r="R14" i="1"/>
  <c r="R20" i="1"/>
  <c r="R21" i="1"/>
  <c r="R24" i="1"/>
  <c r="R19" i="1"/>
  <c r="R23" i="1"/>
  <c r="R10" i="1"/>
  <c r="R22" i="1"/>
  <c r="R26" i="1"/>
  <c r="R25" i="1"/>
  <c r="R27" i="1"/>
  <c r="R35" i="1"/>
  <c r="R44" i="1"/>
  <c r="R40" i="1"/>
  <c r="P30" i="1"/>
  <c r="W64" i="3"/>
  <c r="V78" i="3"/>
  <c r="I89" i="1" s="1"/>
  <c r="V76" i="3"/>
  <c r="I98" i="1" s="1"/>
  <c r="C64" i="4"/>
  <c r="H103" i="1"/>
  <c r="R11" i="1"/>
  <c r="H61" i="1"/>
  <c r="G65" i="1"/>
  <c r="F9" i="4"/>
  <c r="G5" i="4"/>
  <c r="G9" i="4" s="1"/>
  <c r="F105" i="1"/>
  <c r="F84" i="1"/>
  <c r="I103" i="1" l="1"/>
  <c r="F29" i="4"/>
  <c r="G12" i="4"/>
  <c r="G29" i="4" s="1"/>
  <c r="G31" i="4" s="1"/>
  <c r="Q30" i="1"/>
  <c r="R29" i="1"/>
  <c r="Q49" i="1"/>
  <c r="R49" i="1" s="1"/>
  <c r="R32" i="1"/>
  <c r="F31" i="4"/>
  <c r="F33" i="4" s="1"/>
  <c r="X64" i="3"/>
  <c r="W76" i="3"/>
  <c r="J98" i="1" s="1"/>
  <c r="D59" i="4" s="1"/>
  <c r="W78" i="3"/>
  <c r="J89" i="1" s="1"/>
  <c r="J103" i="1" s="1"/>
  <c r="G70" i="1"/>
  <c r="E105" i="1"/>
  <c r="E107" i="1" s="1"/>
  <c r="F107" i="1" s="1"/>
  <c r="E84" i="1"/>
  <c r="I61" i="1"/>
  <c r="H65" i="1"/>
  <c r="H70" i="1" s="1"/>
  <c r="Q51" i="1" l="1"/>
  <c r="R51" i="1" s="1"/>
  <c r="J61" i="1"/>
  <c r="I65" i="1"/>
  <c r="G83" i="1"/>
  <c r="C40" i="4"/>
  <c r="H83" i="1"/>
  <c r="X76" i="3"/>
  <c r="K98" i="1" s="1"/>
  <c r="Y64" i="3"/>
  <c r="X78" i="3"/>
  <c r="K89" i="1" s="1"/>
  <c r="D50" i="4"/>
  <c r="G84" i="1" l="1"/>
  <c r="G105" i="1"/>
  <c r="G107" i="1" s="1"/>
  <c r="I70" i="1"/>
  <c r="K103" i="1"/>
  <c r="Y76" i="3"/>
  <c r="L98" i="1" s="1"/>
  <c r="Z64" i="3"/>
  <c r="Y78" i="3"/>
  <c r="L89" i="1" s="1"/>
  <c r="K61" i="1"/>
  <c r="J65" i="1"/>
  <c r="J70" i="1" s="1"/>
  <c r="J83" i="1" s="1"/>
  <c r="C44" i="4"/>
  <c r="C66" i="4" s="1"/>
  <c r="C68" i="4" s="1"/>
  <c r="D64" i="4"/>
  <c r="H84" i="1"/>
  <c r="H105" i="1"/>
  <c r="J84" i="1" l="1"/>
  <c r="J105" i="1"/>
  <c r="I83" i="1"/>
  <c r="D40" i="4"/>
  <c r="Z78" i="3"/>
  <c r="M89" i="1" s="1"/>
  <c r="Z76" i="3"/>
  <c r="M98" i="1" s="1"/>
  <c r="E59" i="4" s="1"/>
  <c r="AA64" i="3"/>
  <c r="K65" i="1"/>
  <c r="K70" i="1" s="1"/>
  <c r="L61" i="1"/>
  <c r="H107" i="1"/>
  <c r="L103" i="1"/>
  <c r="M103" i="1" l="1"/>
  <c r="D44" i="4"/>
  <c r="D66" i="4" s="1"/>
  <c r="D68" i="4" s="1"/>
  <c r="K83" i="1"/>
  <c r="AA76" i="3"/>
  <c r="N98" i="1" s="1"/>
  <c r="AB64" i="3"/>
  <c r="AA78" i="3"/>
  <c r="N89" i="1" s="1"/>
  <c r="I84" i="1"/>
  <c r="I105" i="1"/>
  <c r="I107" i="1" s="1"/>
  <c r="J107" i="1" s="1"/>
  <c r="M61" i="1"/>
  <c r="L65" i="1"/>
  <c r="L70" i="1" s="1"/>
  <c r="L83" i="1" s="1"/>
  <c r="E50" i="4"/>
  <c r="L84" i="1" l="1"/>
  <c r="L105" i="1"/>
  <c r="E64" i="4"/>
  <c r="N61" i="1"/>
  <c r="M65" i="1"/>
  <c r="M70" i="1" s="1"/>
  <c r="M83" i="1" s="1"/>
  <c r="K84" i="1"/>
  <c r="K105" i="1"/>
  <c r="K107" i="1" s="1"/>
  <c r="L107" i="1" s="1"/>
  <c r="N103" i="1"/>
  <c r="AB78" i="3"/>
  <c r="O89" i="1" s="1"/>
  <c r="AC64" i="3"/>
  <c r="AB76" i="3"/>
  <c r="O98" i="1" s="1"/>
  <c r="M84" i="1" l="1"/>
  <c r="M105" i="1"/>
  <c r="M107" i="1" s="1"/>
  <c r="E40" i="4"/>
  <c r="AC76" i="3"/>
  <c r="P98" i="1" s="1"/>
  <c r="Q98" i="1" s="1"/>
  <c r="AC78" i="3"/>
  <c r="P89" i="1" s="1"/>
  <c r="N65" i="1"/>
  <c r="N70" i="1" s="1"/>
  <c r="O61" i="1"/>
  <c r="O103" i="1"/>
  <c r="P103" i="1" l="1"/>
  <c r="Q89" i="1"/>
  <c r="E44" i="4"/>
  <c r="E66" i="4" s="1"/>
  <c r="E68" i="4" s="1"/>
  <c r="F59" i="4"/>
  <c r="G59" i="4" s="1"/>
  <c r="N83" i="1"/>
  <c r="F50" i="4"/>
  <c r="O65" i="1"/>
  <c r="O70" i="1" s="1"/>
  <c r="O83" i="1" s="1"/>
  <c r="P61" i="1"/>
  <c r="P65" i="1" s="1"/>
  <c r="Q103" i="1" l="1"/>
  <c r="P70" i="1"/>
  <c r="Q65" i="1"/>
  <c r="O105" i="1"/>
  <c r="O84" i="1"/>
  <c r="F64" i="4"/>
  <c r="G50" i="4"/>
  <c r="G64" i="4" s="1"/>
  <c r="N105" i="1"/>
  <c r="N107" i="1" s="1"/>
  <c r="N84" i="1"/>
  <c r="P83" i="1" l="1"/>
  <c r="F40" i="4"/>
  <c r="Q70" i="1"/>
  <c r="O107" i="1"/>
  <c r="R68" i="1" l="1"/>
  <c r="R97" i="1"/>
  <c r="R88" i="1"/>
  <c r="R67" i="1"/>
  <c r="R91" i="1"/>
  <c r="R99" i="1"/>
  <c r="R90" i="1"/>
  <c r="R95" i="1"/>
  <c r="R100" i="1"/>
  <c r="R70" i="1"/>
  <c r="R96" i="1"/>
  <c r="R87" i="1"/>
  <c r="R92" i="1"/>
  <c r="R75" i="1"/>
  <c r="R69" i="1"/>
  <c r="R93" i="1"/>
  <c r="Q83" i="1"/>
  <c r="R101" i="1"/>
  <c r="R74" i="1"/>
  <c r="R78" i="1"/>
  <c r="R77" i="1"/>
  <c r="R73" i="1"/>
  <c r="R76" i="1"/>
  <c r="R64" i="1"/>
  <c r="R80" i="1"/>
  <c r="R79" i="1"/>
  <c r="R86" i="1"/>
  <c r="R94" i="1"/>
  <c r="R81" i="1"/>
  <c r="R98" i="1"/>
  <c r="R89" i="1"/>
  <c r="R103" i="1"/>
  <c r="F44" i="4"/>
  <c r="F66" i="4" s="1"/>
  <c r="F68" i="4" s="1"/>
  <c r="G40" i="4"/>
  <c r="G44" i="4" s="1"/>
  <c r="G66" i="4" s="1"/>
  <c r="R65" i="1"/>
  <c r="P84" i="1"/>
  <c r="P105" i="1"/>
  <c r="P107" i="1" s="1"/>
  <c r="Q105" i="1" l="1"/>
  <c r="R105" i="1" s="1"/>
  <c r="R83" i="1"/>
  <c r="Q84" i="1"/>
</calcChain>
</file>

<file path=xl/sharedStrings.xml><?xml version="1.0" encoding="utf-8"?>
<sst xmlns="http://schemas.openxmlformats.org/spreadsheetml/2006/main" count="226" uniqueCount="119">
  <si>
    <t>*  Blue Highlighted Cells May be Edited.  Do not Edit Other Cells.</t>
  </si>
  <si>
    <t>General Assumptions</t>
  </si>
  <si>
    <t>First Month of Business Plan</t>
  </si>
  <si>
    <t>Avg. Mo. Rent per Unit</t>
  </si>
  <si>
    <t>Avg. Rental Term</t>
  </si>
  <si>
    <t>mo's</t>
  </si>
  <si>
    <t>Avg. Funding Factor</t>
  </si>
  <si>
    <t>Avg. Unit Cost</t>
  </si>
  <si>
    <t>Market Area Population</t>
  </si>
  <si>
    <t>Avg. # of Units per Rental Contract</t>
  </si>
  <si>
    <t>Maintenance Fee per Unit per Month</t>
  </si>
  <si>
    <t>Employee Benefits per Employee per Month</t>
  </si>
  <si>
    <t>Sales Staffing Assumptions</t>
  </si>
  <si>
    <t>Sales Manager</t>
  </si>
  <si>
    <t>Base Salary</t>
  </si>
  <si>
    <t>per mo.</t>
  </si>
  <si>
    <t>Overrides</t>
  </si>
  <si>
    <t>At Minimum</t>
  </si>
  <si>
    <t xml:space="preserve"> of gross rents</t>
  </si>
  <si>
    <t>At Quota</t>
  </si>
  <si>
    <t>At Goal</t>
  </si>
  <si>
    <t>Sales Rep.</t>
  </si>
  <si>
    <t xml:space="preserve"># of Sales Reps. per </t>
  </si>
  <si>
    <t>in population</t>
  </si>
  <si>
    <t>Base Pay</t>
  </si>
  <si>
    <t>Commission</t>
  </si>
  <si>
    <t>of gross rents</t>
  </si>
  <si>
    <t>Sales Goals</t>
  </si>
  <si>
    <t>Minimum Goal</t>
  </si>
  <si>
    <t>units</t>
  </si>
  <si>
    <t>in gross rents</t>
  </si>
  <si>
    <t>Bonus</t>
  </si>
  <si>
    <t>Quota</t>
  </si>
  <si>
    <t>Goal</t>
  </si>
  <si>
    <t>Sales Rep. Staffing Schedule</t>
  </si>
  <si>
    <t>Target # of Reps</t>
  </si>
  <si>
    <t>Actual # of Reps</t>
  </si>
  <si>
    <t xml:space="preserve">   # of Reps @ Minimum</t>
  </si>
  <si>
    <t xml:space="preserve">   # of Reps @ Quota</t>
  </si>
  <si>
    <t xml:space="preserve">   # of Reps @ Goal</t>
  </si>
  <si>
    <t>Telemarketers</t>
  </si>
  <si>
    <t># of Telemarketers per Sales Rep.</t>
  </si>
  <si>
    <t>Wage Rate</t>
  </si>
  <si>
    <t>per hr.</t>
  </si>
  <si>
    <t>Avg. # of hrs. Worked per day per Telemarketer</t>
  </si>
  <si>
    <t>Avg. # of Appointments Set per hr. per Telemarketer</t>
  </si>
  <si>
    <t>Set Appointment Close %</t>
  </si>
  <si>
    <t>Spifs</t>
  </si>
  <si>
    <t>Per Set Appointment</t>
  </si>
  <si>
    <t>Per Unit Sold</t>
  </si>
  <si>
    <t>Sales Rep. Cost per Set Appointment per Unit Sold</t>
  </si>
  <si>
    <t>Target # of Telemarketers</t>
  </si>
  <si>
    <t>Actual # of Telemarketers</t>
  </si>
  <si>
    <t># of Appointments Set</t>
  </si>
  <si>
    <t># of Units Sold via Telem.</t>
  </si>
  <si>
    <t>Total Hourly Wage</t>
  </si>
  <si>
    <t>Total Appointment Spif.</t>
  </si>
  <si>
    <t>Total Unit Sold Spif.</t>
  </si>
  <si>
    <t>Sales Rep. Spif Reimburs.</t>
  </si>
  <si>
    <t>Total Telemarketing Wage</t>
  </si>
  <si>
    <t>Other Staffing</t>
  </si>
  <si>
    <t>Service Manager</t>
  </si>
  <si>
    <t>Shop Assistant # 1</t>
  </si>
  <si>
    <t>Receptionist</t>
  </si>
  <si>
    <t>Clerical #1</t>
  </si>
  <si>
    <t>Shop Asst. #2</t>
  </si>
  <si>
    <t>Clerical #2</t>
  </si>
  <si>
    <t>Total Staffing</t>
  </si>
  <si>
    <t>The information provided in this document is the property of Waterlogic USA, and is intended for use and review by Waterlogic USA personnel.  This information is confidential and not to be shared by any persons or business entity without prior written consent of Waterlogic USA, LLC.</t>
  </si>
  <si>
    <t>Period #</t>
  </si>
  <si>
    <t>Annual</t>
  </si>
  <si>
    <t>Month</t>
  </si>
  <si>
    <t>Total</t>
  </si>
  <si>
    <t>%</t>
  </si>
  <si>
    <t>Unit Sales</t>
  </si>
  <si>
    <t>Current Month</t>
  </si>
  <si>
    <t>Life to Date</t>
  </si>
  <si>
    <t>Gross Revenue</t>
  </si>
  <si>
    <t>Contract Fundings</t>
  </si>
  <si>
    <t>Service Fees</t>
  </si>
  <si>
    <t>Miscellaneous:</t>
  </si>
  <si>
    <t xml:space="preserve">  ________________________</t>
  </si>
  <si>
    <t>Total Revenue</t>
  </si>
  <si>
    <t>Cost of Goods Sold</t>
  </si>
  <si>
    <t>Unit Cost</t>
  </si>
  <si>
    <t>Base Salary - Sales Manager</t>
  </si>
  <si>
    <t>Base Salary - Sales Reps</t>
  </si>
  <si>
    <t>Override - Sales Manager</t>
  </si>
  <si>
    <t>Commissions - Sales Reps.</t>
  </si>
  <si>
    <t>Bonuses - Sales Reps</t>
  </si>
  <si>
    <t>Wages - Telemarketing</t>
  </si>
  <si>
    <t>Shop Supplies</t>
  </si>
  <si>
    <t>Gross Profit</t>
  </si>
  <si>
    <t>Operating Expenses</t>
  </si>
  <si>
    <t>Advert. &amp; Marketing</t>
  </si>
  <si>
    <t>Automobile &amp; Truck</t>
  </si>
  <si>
    <t>Dues &amp; Subscriptions</t>
  </si>
  <si>
    <t>Employee Benefits</t>
  </si>
  <si>
    <t>Insurance</t>
  </si>
  <si>
    <t>Licenses &amp; Permits</t>
  </si>
  <si>
    <t>Legal &amp; Professional</t>
  </si>
  <si>
    <t>Office Supplies</t>
  </si>
  <si>
    <t>Payroll Taxes</t>
  </si>
  <si>
    <t>Postage &amp; Delivery</t>
  </si>
  <si>
    <t>Rent</t>
  </si>
  <si>
    <t>Repairs &amp; Maintenance</t>
  </si>
  <si>
    <t>Salaries &amp; Wages</t>
  </si>
  <si>
    <t>Telephone</t>
  </si>
  <si>
    <t>Travel &amp; Entertainment</t>
  </si>
  <si>
    <t>Utilities</t>
  </si>
  <si>
    <t>Total Operating Expenses</t>
  </si>
  <si>
    <t>Net Income - Curr. Mo.</t>
  </si>
  <si>
    <t>Net Income - Year to Date</t>
  </si>
  <si>
    <t>Quarterly Roll-up - Year 1</t>
  </si>
  <si>
    <t>1st Qtr.</t>
  </si>
  <si>
    <t>2nd Qtr.</t>
  </si>
  <si>
    <t>3rd Qtr.</t>
  </si>
  <si>
    <t>4th Qtr.</t>
  </si>
  <si>
    <t>Quarterly Roll-up -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</si>
</sst>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164" formatCode="mmm\-yy_)"/>
    <numFmt numFmtId="165" formatCode="0.0%"/>
    <numFmt numFmtId="166" formatCode="mm/dd/yy"/>
    <numFmt numFmtId="167" formatCode="&quot;$&quot;#,##0.00"/>
    <numFmt numFmtId="168" formatCode="#,##0.00000_);\(#,##0.00000\)"/>
    <numFmt numFmtId="169" formatCode="#,##0.0_);\(#,##0.0\)"/>
  </numFmts>
  <fonts count="9">
    <font>
      <sz val="8"/>
      <name val="Helv"/>
    </font>
    <font>
      <b/>
      <sz val="8"/>
      <name val="Helv"/>
    </font>
    <font>
      <sz val="12"/>
      <name val="Helv"/>
    </font>
    <font>
      <sz val="10"/>
      <name val="Helv"/>
    </font>
    <font>
      <b/>
      <sz val="10"/>
      <name val="Helv"/>
    </font>
    <font>
      <sz val="8"/>
      <name val="Helv"/>
    </font>
    <font>
      <b/>
      <sz val="10"/>
      <color indexed="10"/>
      <name val="Helv"/>
    </font>
    <font>
      <b/>
      <sz val="12"/>
      <name val="Helv"/>
    </font>
    <font>
      <i/>
      <sz val="8"/>
      <name val="Calibri"/>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8">
    <border>
      <left/>
      <right/>
      <top/>
      <bottom/>
      <diagonal/>
    </border>
    <border>
      <left/>
      <right/>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s>
  <cellStyleXfs count="1">
    <xf numFmtId="37" fontId="0" fillId="0" borderId="0"/>
  </cellStyleXfs>
  <cellXfs count="83">
    <xf numFmtId="37" fontId="0" fillId="0" borderId="0" xfId="0"/>
    <xf numFmtId="37" fontId="1" fillId="0" borderId="0" xfId="0" applyFont="1" applyAlignment="1">
      <alignment horizontal="left"/>
    </xf>
    <xf numFmtId="37" fontId="0" fillId="0" borderId="1" xfId="0" applyBorder="1"/>
    <xf numFmtId="37" fontId="1" fillId="0" borderId="0" xfId="0" applyFont="1" applyAlignment="1">
      <alignment horizontal="center"/>
    </xf>
    <xf numFmtId="37" fontId="1" fillId="0" borderId="0" xfId="0" applyFont="1"/>
    <xf numFmtId="37" fontId="1" fillId="0" borderId="2" xfId="0" applyFont="1" applyBorder="1" applyAlignment="1">
      <alignment horizontal="center"/>
    </xf>
    <xf numFmtId="37" fontId="0" fillId="0" borderId="0" xfId="0" applyAlignment="1">
      <alignment horizontal="left"/>
    </xf>
    <xf numFmtId="37" fontId="0" fillId="0" borderId="0" xfId="0" applyAlignment="1">
      <alignment horizontal="center"/>
    </xf>
    <xf numFmtId="37" fontId="1" fillId="0" borderId="2" xfId="0" applyFont="1" applyBorder="1" applyAlignment="1">
      <alignment horizontal="left"/>
    </xf>
    <xf numFmtId="37" fontId="0" fillId="0" borderId="2" xfId="0" applyBorder="1"/>
    <xf numFmtId="164" fontId="1" fillId="0" borderId="2" xfId="0" applyNumberFormat="1" applyFont="1" applyBorder="1"/>
    <xf numFmtId="164" fontId="1" fillId="0" borderId="1" xfId="0" applyNumberFormat="1" applyFont="1" applyBorder="1"/>
    <xf numFmtId="37" fontId="1" fillId="0" borderId="1" xfId="0" applyFont="1" applyBorder="1" applyAlignment="1">
      <alignment horizontal="center"/>
    </xf>
    <xf numFmtId="164" fontId="0" fillId="0" borderId="0" xfId="0" applyNumberFormat="1"/>
    <xf numFmtId="164" fontId="1" fillId="0" borderId="0" xfId="0" applyNumberFormat="1" applyFont="1"/>
    <xf numFmtId="37" fontId="0" fillId="0" borderId="3" xfId="0" applyBorder="1"/>
    <xf numFmtId="165" fontId="0" fillId="0" borderId="0" xfId="0" applyNumberFormat="1"/>
    <xf numFmtId="165" fontId="0" fillId="0" borderId="1" xfId="0" applyNumberFormat="1" applyBorder="1"/>
    <xf numFmtId="165" fontId="0" fillId="0" borderId="2" xfId="0" applyNumberFormat="1" applyBorder="1"/>
    <xf numFmtId="10" fontId="0" fillId="0" borderId="2" xfId="0" applyNumberFormat="1" applyBorder="1"/>
    <xf numFmtId="37" fontId="0" fillId="0" borderId="4" xfId="0" applyBorder="1"/>
    <xf numFmtId="37" fontId="2" fillId="0" borderId="0" xfId="0" applyFont="1"/>
    <xf numFmtId="37" fontId="3" fillId="0" borderId="0" xfId="0" applyFont="1"/>
    <xf numFmtId="37" fontId="4" fillId="0" borderId="1" xfId="0" applyFont="1" applyBorder="1" applyAlignment="1">
      <alignment horizontal="left"/>
    </xf>
    <xf numFmtId="37" fontId="3" fillId="0" borderId="1" xfId="0" applyFont="1" applyBorder="1"/>
    <xf numFmtId="37" fontId="3" fillId="0" borderId="5" xfId="0" applyFont="1" applyBorder="1"/>
    <xf numFmtId="37" fontId="4" fillId="0" borderId="0" xfId="0" applyFont="1"/>
    <xf numFmtId="37" fontId="3" fillId="0" borderId="6" xfId="0" applyFont="1" applyBorder="1"/>
    <xf numFmtId="10" fontId="0" fillId="2" borderId="3" xfId="0" applyNumberFormat="1" applyFill="1" applyBorder="1" applyProtection="1">
      <protection locked="0"/>
    </xf>
    <xf numFmtId="5" fontId="3" fillId="2" borderId="3" xfId="0" applyNumberFormat="1" applyFont="1" applyFill="1" applyBorder="1" applyProtection="1">
      <protection locked="0"/>
    </xf>
    <xf numFmtId="37" fontId="6" fillId="0" borderId="0" xfId="0" applyFont="1"/>
    <xf numFmtId="37" fontId="3" fillId="0" borderId="7" xfId="0" applyFont="1" applyBorder="1"/>
    <xf numFmtId="37" fontId="3" fillId="0" borderId="8" xfId="0" applyFont="1" applyBorder="1"/>
    <xf numFmtId="37" fontId="3" fillId="0" borderId="9" xfId="0" applyFont="1" applyBorder="1"/>
    <xf numFmtId="10" fontId="0" fillId="0" borderId="0" xfId="0" applyNumberFormat="1"/>
    <xf numFmtId="165" fontId="0" fillId="0" borderId="5" xfId="0" applyNumberFormat="1" applyBorder="1"/>
    <xf numFmtId="10" fontId="0" fillId="2" borderId="3" xfId="0" applyNumberFormat="1" applyFill="1" applyBorder="1"/>
    <xf numFmtId="37" fontId="0" fillId="2" borderId="0" xfId="0" applyFill="1" applyProtection="1">
      <protection locked="0"/>
    </xf>
    <xf numFmtId="37" fontId="0" fillId="3" borderId="0" xfId="0" applyFill="1"/>
    <xf numFmtId="37" fontId="1" fillId="3" borderId="0" xfId="0" applyFont="1" applyFill="1"/>
    <xf numFmtId="37" fontId="1" fillId="3" borderId="0" xfId="0" applyFont="1" applyFill="1" applyAlignment="1">
      <alignment horizontal="center"/>
    </xf>
    <xf numFmtId="164" fontId="1" fillId="3" borderId="0" xfId="0" applyNumberFormat="1" applyFont="1" applyFill="1"/>
    <xf numFmtId="165" fontId="0" fillId="3" borderId="0" xfId="0" applyNumberFormat="1" applyFill="1"/>
    <xf numFmtId="166" fontId="3" fillId="2" borderId="3" xfId="0" applyNumberFormat="1" applyFont="1" applyFill="1" applyBorder="1" applyProtection="1">
      <protection locked="0"/>
    </xf>
    <xf numFmtId="10" fontId="3" fillId="0" borderId="0" xfId="0" applyNumberFormat="1" applyFont="1"/>
    <xf numFmtId="37" fontId="3" fillId="0" borderId="3" xfId="0" applyFont="1" applyBorder="1"/>
    <xf numFmtId="5" fontId="3" fillId="0" borderId="0" xfId="0" applyNumberFormat="1" applyFont="1"/>
    <xf numFmtId="164" fontId="4" fillId="0" borderId="0" xfId="0" applyNumberFormat="1" applyFont="1"/>
    <xf numFmtId="164" fontId="3" fillId="0" borderId="0" xfId="0" applyNumberFormat="1" applyFont="1"/>
    <xf numFmtId="37" fontId="3" fillId="0" borderId="10" xfId="0" applyFont="1" applyBorder="1"/>
    <xf numFmtId="37" fontId="3" fillId="0" borderId="11" xfId="0" applyFont="1" applyBorder="1"/>
    <xf numFmtId="37" fontId="3" fillId="0" borderId="12" xfId="0" applyFont="1" applyBorder="1"/>
    <xf numFmtId="37" fontId="3" fillId="0" borderId="13" xfId="0" applyFont="1" applyBorder="1"/>
    <xf numFmtId="7" fontId="3" fillId="0" borderId="0" xfId="0" applyNumberFormat="1" applyFont="1"/>
    <xf numFmtId="37" fontId="4" fillId="0" borderId="0" xfId="0" applyFont="1" applyAlignment="1">
      <alignment horizontal="left"/>
    </xf>
    <xf numFmtId="37" fontId="3" fillId="2" borderId="3" xfId="0" applyFont="1" applyFill="1" applyBorder="1" applyProtection="1">
      <protection locked="0"/>
    </xf>
    <xf numFmtId="37" fontId="3" fillId="2" borderId="7" xfId="0" applyFont="1" applyFill="1" applyBorder="1" applyProtection="1">
      <protection locked="0"/>
    </xf>
    <xf numFmtId="37" fontId="3" fillId="0" borderId="2" xfId="0" applyFont="1" applyBorder="1"/>
    <xf numFmtId="37" fontId="3" fillId="0" borderId="14" xfId="0" applyFont="1" applyBorder="1"/>
    <xf numFmtId="7" fontId="3" fillId="2" borderId="3" xfId="0" applyNumberFormat="1" applyFont="1" applyFill="1" applyBorder="1" applyProtection="1">
      <protection locked="0"/>
    </xf>
    <xf numFmtId="168" fontId="3" fillId="2" borderId="3" xfId="0" applyNumberFormat="1" applyFont="1" applyFill="1" applyBorder="1" applyProtection="1">
      <protection locked="0"/>
    </xf>
    <xf numFmtId="39" fontId="3" fillId="2" borderId="3" xfId="0" applyNumberFormat="1" applyFont="1" applyFill="1" applyBorder="1" applyProtection="1">
      <protection locked="0"/>
    </xf>
    <xf numFmtId="10" fontId="3" fillId="2" borderId="3" xfId="0" applyNumberFormat="1" applyFont="1" applyFill="1" applyBorder="1" applyProtection="1">
      <protection locked="0"/>
    </xf>
    <xf numFmtId="37" fontId="0" fillId="2" borderId="1" xfId="0" applyFill="1" applyBorder="1" applyProtection="1">
      <protection locked="0"/>
    </xf>
    <xf numFmtId="37" fontId="5" fillId="0" borderId="3" xfId="0" applyFont="1" applyBorder="1" applyAlignment="1">
      <alignment horizontal="center"/>
    </xf>
    <xf numFmtId="37" fontId="3" fillId="0" borderId="3" xfId="0" applyFont="1" applyBorder="1" applyProtection="1">
      <protection locked="0"/>
    </xf>
    <xf numFmtId="5" fontId="3" fillId="2" borderId="15" xfId="0" applyNumberFormat="1" applyFont="1" applyFill="1" applyBorder="1" applyProtection="1">
      <protection locked="0"/>
    </xf>
    <xf numFmtId="169" fontId="3" fillId="0" borderId="3" xfId="0" applyNumberFormat="1" applyFont="1" applyBorder="1" applyProtection="1">
      <protection locked="0"/>
    </xf>
    <xf numFmtId="167" fontId="3" fillId="2" borderId="3" xfId="0" applyNumberFormat="1" applyFont="1" applyFill="1" applyBorder="1" applyProtection="1">
      <protection locked="0"/>
    </xf>
    <xf numFmtId="37" fontId="3" fillId="2" borderId="6" xfId="0" applyFont="1" applyFill="1" applyBorder="1" applyAlignment="1" applyProtection="1">
      <alignment horizontal="left"/>
      <protection locked="0"/>
    </xf>
    <xf numFmtId="37" fontId="3" fillId="2" borderId="5" xfId="0" applyFont="1" applyFill="1" applyBorder="1" applyProtection="1">
      <protection locked="0"/>
    </xf>
    <xf numFmtId="37" fontId="3" fillId="2" borderId="13" xfId="0" applyFont="1" applyFill="1" applyBorder="1" applyAlignment="1" applyProtection="1">
      <alignment horizontal="left"/>
      <protection locked="0"/>
    </xf>
    <xf numFmtId="37" fontId="3" fillId="2" borderId="10" xfId="0" applyFont="1" applyFill="1" applyBorder="1" applyAlignment="1" applyProtection="1">
      <alignment horizontal="left"/>
      <protection locked="0"/>
    </xf>
    <xf numFmtId="37" fontId="3" fillId="2" borderId="8" xfId="0" applyFont="1" applyFill="1" applyBorder="1" applyProtection="1">
      <protection locked="0"/>
    </xf>
    <xf numFmtId="37" fontId="3" fillId="2" borderId="16" xfId="0" applyFont="1" applyFill="1" applyBorder="1" applyProtection="1">
      <protection locked="0"/>
    </xf>
    <xf numFmtId="37" fontId="0" fillId="2" borderId="0" xfId="0" applyFill="1" applyAlignment="1" applyProtection="1">
      <alignment horizontal="left"/>
      <protection locked="0"/>
    </xf>
    <xf numFmtId="37" fontId="7" fillId="0" borderId="0" xfId="0" applyFont="1" applyAlignment="1">
      <alignment horizontal="left"/>
    </xf>
    <xf numFmtId="37" fontId="7" fillId="0" borderId="0" xfId="0" applyFont="1"/>
    <xf numFmtId="37" fontId="2" fillId="0" borderId="0" xfId="0" applyFont="1" applyAlignment="1">
      <alignment horizontal="left"/>
    </xf>
    <xf numFmtId="37" fontId="2" fillId="0" borderId="17" xfId="0" applyFont="1" applyBorder="1"/>
    <xf numFmtId="37" fontId="2" fillId="0" borderId="0" xfId="0" applyFont="1" applyAlignment="1">
      <alignment horizontal="center"/>
    </xf>
    <xf numFmtId="37" fontId="2" fillId="0" borderId="17" xfId="0" applyFont="1" applyBorder="1" applyAlignment="1">
      <alignment horizontal="center"/>
    </xf>
    <xf numFmtId="37" fontId="8"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84"/>
  <sheetViews>
    <sheetView tabSelected="1" workbookViewId="0">
      <selection activeCell="I12" sqref="I12"/>
    </sheetView>
  </sheetViews>
  <sheetFormatPr defaultColWidth="12.83203125" defaultRowHeight="12.6"/>
  <cols>
    <col min="1" max="3" width="2.33203125" style="22" customWidth="1"/>
    <col min="4" max="4" width="16.1640625" style="22" customWidth="1"/>
    <col min="5" max="5" width="12.83203125" style="22" customWidth="1"/>
    <col min="6" max="8" width="10.33203125" style="22" customWidth="1"/>
    <col min="9" max="9" width="12.1640625" style="22" bestFit="1" customWidth="1"/>
    <col min="10" max="10" width="15.83203125" style="22" bestFit="1" customWidth="1"/>
    <col min="11" max="35" width="10.33203125" style="22" customWidth="1"/>
    <col min="36" max="43" width="11.33203125" style="22" customWidth="1"/>
    <col min="44" max="16384" width="12.83203125" style="22"/>
  </cols>
  <sheetData>
    <row r="1" spans="1:10">
      <c r="A1" s="30" t="s">
        <v>0</v>
      </c>
    </row>
    <row r="3" spans="1:10">
      <c r="A3" s="26" t="s">
        <v>1</v>
      </c>
    </row>
    <row r="4" spans="1:10">
      <c r="B4" s="22" t="s">
        <v>2</v>
      </c>
      <c r="I4" s="43">
        <v>38367</v>
      </c>
    </row>
    <row r="5" spans="1:10">
      <c r="B5" s="22" t="s">
        <v>3</v>
      </c>
      <c r="I5" s="59">
        <v>49.95</v>
      </c>
    </row>
    <row r="6" spans="1:10">
      <c r="B6" s="22" t="s">
        <v>4</v>
      </c>
      <c r="I6" s="55">
        <v>60</v>
      </c>
      <c r="J6" s="22" t="s">
        <v>5</v>
      </c>
    </row>
    <row r="7" spans="1:10">
      <c r="B7" s="22" t="s">
        <v>6</v>
      </c>
      <c r="I7" s="60">
        <v>2.1999999999999999E-2</v>
      </c>
    </row>
    <row r="8" spans="1:10">
      <c r="B8" s="22" t="s">
        <v>7</v>
      </c>
      <c r="I8" s="59">
        <v>675</v>
      </c>
    </row>
    <row r="9" spans="1:10">
      <c r="B9" s="22" t="s">
        <v>8</v>
      </c>
      <c r="I9" s="55">
        <v>3250000</v>
      </c>
    </row>
    <row r="10" spans="1:10">
      <c r="B10" s="22" t="s">
        <v>9</v>
      </c>
      <c r="I10" s="61">
        <v>1.5</v>
      </c>
    </row>
    <row r="11" spans="1:10">
      <c r="B11" s="22" t="s">
        <v>10</v>
      </c>
      <c r="I11" s="59">
        <v>8</v>
      </c>
    </row>
    <row r="12" spans="1:10">
      <c r="B12" s="22" t="s">
        <v>11</v>
      </c>
      <c r="I12" s="59">
        <v>150</v>
      </c>
    </row>
    <row r="14" spans="1:10">
      <c r="A14" s="26" t="s">
        <v>12</v>
      </c>
    </row>
    <row r="15" spans="1:10">
      <c r="B15" s="22" t="s">
        <v>13</v>
      </c>
      <c r="I15" s="55">
        <v>1</v>
      </c>
    </row>
    <row r="16" spans="1:10">
      <c r="C16" s="22" t="s">
        <v>14</v>
      </c>
      <c r="I16" s="29">
        <v>2500</v>
      </c>
      <c r="J16" s="22" t="s">
        <v>15</v>
      </c>
    </row>
    <row r="17" spans="2:95">
      <c r="C17" s="22" t="s">
        <v>16</v>
      </c>
    </row>
    <row r="18" spans="2:95">
      <c r="D18" s="22" t="s">
        <v>17</v>
      </c>
      <c r="I18" s="62">
        <v>1.4999999999999999E-2</v>
      </c>
      <c r="J18" s="22" t="s">
        <v>18</v>
      </c>
    </row>
    <row r="19" spans="2:95">
      <c r="D19" s="22" t="s">
        <v>19</v>
      </c>
      <c r="I19" s="62">
        <v>1.7500000000000002E-2</v>
      </c>
      <c r="J19" s="22" t="s">
        <v>18</v>
      </c>
    </row>
    <row r="20" spans="2:95">
      <c r="D20" s="22" t="s">
        <v>20</v>
      </c>
      <c r="I20" s="62">
        <v>0.02</v>
      </c>
      <c r="J20" s="22" t="s">
        <v>18</v>
      </c>
    </row>
    <row r="22" spans="2:95">
      <c r="B22" s="22" t="s">
        <v>21</v>
      </c>
    </row>
    <row r="23" spans="2:95">
      <c r="C23" s="22" t="s">
        <v>22</v>
      </c>
      <c r="F23" s="65">
        <v>150000</v>
      </c>
      <c r="G23" s="22" t="s">
        <v>23</v>
      </c>
      <c r="I23" s="67">
        <v>1</v>
      </c>
    </row>
    <row r="24" spans="2:95">
      <c r="C24" s="22" t="s">
        <v>24</v>
      </c>
      <c r="I24" s="66">
        <v>1000</v>
      </c>
    </row>
    <row r="25" spans="2:95">
      <c r="C25" s="22" t="s">
        <v>25</v>
      </c>
      <c r="I25" s="62">
        <v>0.1</v>
      </c>
      <c r="J25" s="22" t="s">
        <v>26</v>
      </c>
    </row>
    <row r="26" spans="2:95">
      <c r="C26" s="22" t="s">
        <v>27</v>
      </c>
      <c r="I26" s="44"/>
    </row>
    <row r="27" spans="2:95">
      <c r="D27" s="22" t="s">
        <v>28</v>
      </c>
      <c r="F27" s="45">
        <f>+I27/($I$5*$I$6)</f>
        <v>10.01001001001001</v>
      </c>
      <c r="G27" s="22" t="s">
        <v>29</v>
      </c>
      <c r="I27" s="29">
        <v>30000</v>
      </c>
      <c r="J27" s="22" t="s">
        <v>30</v>
      </c>
      <c r="L27" s="29">
        <v>0</v>
      </c>
      <c r="M27" s="22" t="s">
        <v>31</v>
      </c>
    </row>
    <row r="28" spans="2:95">
      <c r="D28" s="22" t="s">
        <v>32</v>
      </c>
      <c r="F28" s="45">
        <f>+I28/($I$5*$I$6)</f>
        <v>15.015015015015015</v>
      </c>
      <c r="G28" s="22" t="s">
        <v>29</v>
      </c>
      <c r="I28" s="29">
        <v>45000</v>
      </c>
      <c r="J28" s="22" t="s">
        <v>30</v>
      </c>
      <c r="L28" s="29">
        <v>750</v>
      </c>
      <c r="M28" s="22" t="s">
        <v>31</v>
      </c>
    </row>
    <row r="29" spans="2:95">
      <c r="D29" s="22" t="s">
        <v>33</v>
      </c>
      <c r="F29" s="45">
        <f>+I29/($I$5*$I$6)</f>
        <v>20.02002002002002</v>
      </c>
      <c r="G29" s="22" t="s">
        <v>29</v>
      </c>
      <c r="I29" s="29">
        <v>60000</v>
      </c>
      <c r="J29" s="22" t="s">
        <v>30</v>
      </c>
      <c r="L29" s="29">
        <v>1350</v>
      </c>
      <c r="M29" s="22" t="s">
        <v>31</v>
      </c>
    </row>
    <row r="30" spans="2:95" ht="8.25" customHeight="1">
      <c r="I30" s="46"/>
      <c r="L30" s="46"/>
    </row>
    <row r="31" spans="2:95">
      <c r="C31" s="22" t="s">
        <v>34</v>
      </c>
    </row>
    <row r="32" spans="2:95">
      <c r="D32" s="23"/>
      <c r="E32" s="24"/>
      <c r="F32" s="47">
        <f>+$I$4</f>
        <v>38367</v>
      </c>
      <c r="G32" s="47">
        <f t="shared" ref="G32:Q32" si="0">F32+30.42</f>
        <v>38397.42</v>
      </c>
      <c r="H32" s="47">
        <f t="shared" si="0"/>
        <v>38427.839999999997</v>
      </c>
      <c r="I32" s="47">
        <f t="shared" si="0"/>
        <v>38458.259999999995</v>
      </c>
      <c r="J32" s="47">
        <f t="shared" si="0"/>
        <v>38488.679999999993</v>
      </c>
      <c r="K32" s="47">
        <f t="shared" si="0"/>
        <v>38519.099999999991</v>
      </c>
      <c r="L32" s="47">
        <f t="shared" si="0"/>
        <v>38549.51999999999</v>
      </c>
      <c r="M32" s="47">
        <f t="shared" si="0"/>
        <v>38579.939999999988</v>
      </c>
      <c r="N32" s="47">
        <f t="shared" si="0"/>
        <v>38610.359999999986</v>
      </c>
      <c r="O32" s="47">
        <f t="shared" si="0"/>
        <v>38640.779999999984</v>
      </c>
      <c r="P32" s="47">
        <f t="shared" si="0"/>
        <v>38671.199999999983</v>
      </c>
      <c r="Q32" s="47">
        <f t="shared" si="0"/>
        <v>38701.619999999981</v>
      </c>
      <c r="R32" s="47">
        <f>+Q32+30.42</f>
        <v>38732.039999999979</v>
      </c>
      <c r="S32" s="47">
        <f>+R32+30.42</f>
        <v>38762.459999999977</v>
      </c>
      <c r="T32" s="47">
        <f t="shared" ref="T32:AC32" si="1">+S32+30.42</f>
        <v>38792.879999999976</v>
      </c>
      <c r="U32" s="47">
        <f t="shared" si="1"/>
        <v>38823.299999999974</v>
      </c>
      <c r="V32" s="47">
        <f t="shared" si="1"/>
        <v>38853.719999999972</v>
      </c>
      <c r="W32" s="47">
        <f t="shared" si="1"/>
        <v>38884.13999999997</v>
      </c>
      <c r="X32" s="47">
        <f t="shared" si="1"/>
        <v>38914.559999999969</v>
      </c>
      <c r="Y32" s="47">
        <f t="shared" si="1"/>
        <v>38944.979999999967</v>
      </c>
      <c r="Z32" s="47">
        <f t="shared" si="1"/>
        <v>38975.399999999965</v>
      </c>
      <c r="AA32" s="47">
        <f t="shared" si="1"/>
        <v>39005.819999999963</v>
      </c>
      <c r="AB32" s="47">
        <f t="shared" si="1"/>
        <v>39036.239999999962</v>
      </c>
      <c r="AC32" s="47">
        <f t="shared" si="1"/>
        <v>39066.65999999996</v>
      </c>
      <c r="AD32" s="48"/>
      <c r="AE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row>
    <row r="33" spans="2:29">
      <c r="D33" s="27" t="s">
        <v>35</v>
      </c>
      <c r="E33" s="25"/>
      <c r="F33" s="45">
        <f>ROUND($I$9/$F$23,0)</f>
        <v>22</v>
      </c>
      <c r="G33" s="45">
        <f>+F33</f>
        <v>22</v>
      </c>
      <c r="H33" s="45">
        <f t="shared" ref="H33:AC33" si="2">+G33</f>
        <v>22</v>
      </c>
      <c r="I33" s="45">
        <f t="shared" si="2"/>
        <v>22</v>
      </c>
      <c r="J33" s="45">
        <f t="shared" si="2"/>
        <v>22</v>
      </c>
      <c r="K33" s="45">
        <f t="shared" si="2"/>
        <v>22</v>
      </c>
      <c r="L33" s="45">
        <f t="shared" si="2"/>
        <v>22</v>
      </c>
      <c r="M33" s="45">
        <f t="shared" si="2"/>
        <v>22</v>
      </c>
      <c r="N33" s="45">
        <f t="shared" si="2"/>
        <v>22</v>
      </c>
      <c r="O33" s="45">
        <f t="shared" si="2"/>
        <v>22</v>
      </c>
      <c r="P33" s="45">
        <f t="shared" si="2"/>
        <v>22</v>
      </c>
      <c r="Q33" s="45">
        <f t="shared" si="2"/>
        <v>22</v>
      </c>
      <c r="R33" s="45">
        <f t="shared" si="2"/>
        <v>22</v>
      </c>
      <c r="S33" s="45">
        <f t="shared" si="2"/>
        <v>22</v>
      </c>
      <c r="T33" s="45">
        <f t="shared" si="2"/>
        <v>22</v>
      </c>
      <c r="U33" s="45">
        <f t="shared" si="2"/>
        <v>22</v>
      </c>
      <c r="V33" s="45">
        <f t="shared" si="2"/>
        <v>22</v>
      </c>
      <c r="W33" s="45">
        <f t="shared" si="2"/>
        <v>22</v>
      </c>
      <c r="X33" s="45">
        <f t="shared" si="2"/>
        <v>22</v>
      </c>
      <c r="Y33" s="45">
        <f t="shared" si="2"/>
        <v>22</v>
      </c>
      <c r="Z33" s="45">
        <f t="shared" si="2"/>
        <v>22</v>
      </c>
      <c r="AA33" s="45">
        <f t="shared" si="2"/>
        <v>22</v>
      </c>
      <c r="AB33" s="45">
        <f t="shared" si="2"/>
        <v>22</v>
      </c>
      <c r="AC33" s="45">
        <f t="shared" si="2"/>
        <v>22</v>
      </c>
    </row>
    <row r="34" spans="2:29">
      <c r="D34" s="27" t="s">
        <v>36</v>
      </c>
      <c r="E34" s="25"/>
      <c r="F34" s="55">
        <v>1</v>
      </c>
      <c r="G34" s="55">
        <v>2</v>
      </c>
      <c r="H34" s="55">
        <v>3</v>
      </c>
      <c r="I34" s="55">
        <v>4</v>
      </c>
      <c r="J34" s="55">
        <v>5</v>
      </c>
      <c r="K34" s="55">
        <v>5</v>
      </c>
      <c r="L34" s="55">
        <v>6</v>
      </c>
      <c r="M34" s="55">
        <v>6</v>
      </c>
      <c r="N34" s="55">
        <v>7</v>
      </c>
      <c r="O34" s="55">
        <v>7</v>
      </c>
      <c r="P34" s="55">
        <v>8</v>
      </c>
      <c r="Q34" s="55">
        <v>8</v>
      </c>
      <c r="R34" s="55">
        <v>8</v>
      </c>
      <c r="S34" s="55">
        <v>8</v>
      </c>
      <c r="T34" s="55">
        <v>8</v>
      </c>
      <c r="U34" s="55">
        <v>8</v>
      </c>
      <c r="V34" s="55">
        <v>8</v>
      </c>
      <c r="W34" s="55">
        <v>8</v>
      </c>
      <c r="X34" s="55">
        <v>8</v>
      </c>
      <c r="Y34" s="55">
        <v>8</v>
      </c>
      <c r="Z34" s="55">
        <v>8</v>
      </c>
      <c r="AA34" s="55">
        <v>8</v>
      </c>
      <c r="AB34" s="55">
        <v>8</v>
      </c>
      <c r="AC34" s="55">
        <v>8</v>
      </c>
    </row>
    <row r="35" spans="2:29">
      <c r="D35" s="49" t="s">
        <v>37</v>
      </c>
      <c r="E35" s="32"/>
      <c r="F35" s="55">
        <v>1</v>
      </c>
      <c r="G35" s="55">
        <v>2</v>
      </c>
      <c r="H35" s="55">
        <v>3</v>
      </c>
      <c r="I35" s="55">
        <v>3</v>
      </c>
      <c r="J35" s="55">
        <v>3</v>
      </c>
      <c r="K35" s="55">
        <v>3</v>
      </c>
      <c r="L35" s="55">
        <v>4</v>
      </c>
      <c r="M35" s="55">
        <v>4</v>
      </c>
      <c r="N35" s="55">
        <v>5</v>
      </c>
      <c r="O35" s="55">
        <v>5</v>
      </c>
      <c r="P35" s="55">
        <v>6</v>
      </c>
      <c r="Q35" s="55">
        <v>6</v>
      </c>
      <c r="R35" s="55">
        <v>6</v>
      </c>
      <c r="S35" s="55">
        <v>5</v>
      </c>
      <c r="T35" s="55">
        <v>6</v>
      </c>
      <c r="U35" s="55">
        <v>6</v>
      </c>
      <c r="V35" s="55">
        <v>5</v>
      </c>
      <c r="W35" s="55">
        <v>6</v>
      </c>
      <c r="X35" s="55">
        <v>6</v>
      </c>
      <c r="Y35" s="55">
        <v>5</v>
      </c>
      <c r="Z35" s="55">
        <v>6</v>
      </c>
      <c r="AA35" s="55">
        <v>6</v>
      </c>
      <c r="AB35" s="55">
        <v>5</v>
      </c>
      <c r="AC35" s="55">
        <v>6</v>
      </c>
    </row>
    <row r="36" spans="2:29">
      <c r="D36" s="50" t="s">
        <v>38</v>
      </c>
      <c r="E36" s="51"/>
      <c r="F36" s="55">
        <v>0</v>
      </c>
      <c r="G36" s="55">
        <v>0</v>
      </c>
      <c r="H36" s="55">
        <v>0</v>
      </c>
      <c r="I36" s="55">
        <v>1</v>
      </c>
      <c r="J36" s="55">
        <v>1</v>
      </c>
      <c r="K36" s="55">
        <v>2</v>
      </c>
      <c r="L36" s="55">
        <v>1</v>
      </c>
      <c r="M36" s="55">
        <v>2</v>
      </c>
      <c r="N36" s="55">
        <v>2</v>
      </c>
      <c r="O36" s="55">
        <v>2</v>
      </c>
      <c r="P36" s="55">
        <v>2</v>
      </c>
      <c r="Q36" s="55">
        <v>2</v>
      </c>
      <c r="R36" s="55">
        <v>2</v>
      </c>
      <c r="S36" s="55">
        <v>2</v>
      </c>
      <c r="T36" s="55">
        <v>2</v>
      </c>
      <c r="U36" s="55">
        <v>2</v>
      </c>
      <c r="V36" s="55">
        <v>2</v>
      </c>
      <c r="W36" s="55">
        <v>2</v>
      </c>
      <c r="X36" s="55">
        <v>2</v>
      </c>
      <c r="Y36" s="55">
        <v>2</v>
      </c>
      <c r="Z36" s="55">
        <v>2</v>
      </c>
      <c r="AA36" s="55">
        <v>2</v>
      </c>
      <c r="AB36" s="55">
        <v>2</v>
      </c>
      <c r="AC36" s="55">
        <v>2</v>
      </c>
    </row>
    <row r="37" spans="2:29">
      <c r="D37" s="52" t="s">
        <v>39</v>
      </c>
      <c r="E37" s="33"/>
      <c r="F37" s="55">
        <v>0</v>
      </c>
      <c r="G37" s="55">
        <v>0</v>
      </c>
      <c r="H37" s="55">
        <v>0</v>
      </c>
      <c r="I37" s="55">
        <v>0</v>
      </c>
      <c r="J37" s="55">
        <v>1</v>
      </c>
      <c r="K37" s="55">
        <v>0</v>
      </c>
      <c r="L37" s="55">
        <v>1</v>
      </c>
      <c r="M37" s="55">
        <v>0</v>
      </c>
      <c r="N37" s="55">
        <v>0</v>
      </c>
      <c r="O37" s="55">
        <v>0</v>
      </c>
      <c r="P37" s="55">
        <v>0</v>
      </c>
      <c r="Q37" s="55">
        <v>0</v>
      </c>
      <c r="R37" s="55">
        <v>0</v>
      </c>
      <c r="S37" s="55">
        <v>1</v>
      </c>
      <c r="T37" s="55">
        <v>0</v>
      </c>
      <c r="U37" s="55">
        <v>0</v>
      </c>
      <c r="V37" s="55">
        <v>1</v>
      </c>
      <c r="W37" s="55">
        <v>0</v>
      </c>
      <c r="X37" s="55">
        <v>0</v>
      </c>
      <c r="Y37" s="55">
        <v>1</v>
      </c>
      <c r="Z37" s="55">
        <v>0</v>
      </c>
      <c r="AA37" s="55">
        <v>0</v>
      </c>
      <c r="AB37" s="55">
        <v>1</v>
      </c>
      <c r="AC37" s="55">
        <v>0</v>
      </c>
    </row>
    <row r="39" spans="2:29">
      <c r="B39" s="22" t="s">
        <v>40</v>
      </c>
    </row>
    <row r="40" spans="2:29">
      <c r="C40" s="22" t="s">
        <v>41</v>
      </c>
      <c r="I40" s="61">
        <v>0.75</v>
      </c>
    </row>
    <row r="41" spans="2:29">
      <c r="C41" s="22" t="s">
        <v>42</v>
      </c>
      <c r="I41" s="59">
        <v>8</v>
      </c>
      <c r="J41" s="22" t="s">
        <v>43</v>
      </c>
    </row>
    <row r="42" spans="2:29">
      <c r="C42" s="22" t="s">
        <v>44</v>
      </c>
      <c r="I42" s="61">
        <v>6</v>
      </c>
    </row>
    <row r="43" spans="2:29">
      <c r="C43" s="22" t="s">
        <v>45</v>
      </c>
      <c r="I43" s="61">
        <v>0.5</v>
      </c>
    </row>
    <row r="44" spans="2:29">
      <c r="C44" s="22" t="s">
        <v>46</v>
      </c>
      <c r="I44" s="62">
        <v>0.2</v>
      </c>
    </row>
    <row r="45" spans="2:29">
      <c r="C45" s="22" t="s">
        <v>47</v>
      </c>
    </row>
    <row r="46" spans="2:29">
      <c r="D46" s="22" t="s">
        <v>48</v>
      </c>
      <c r="I46" s="59">
        <v>15</v>
      </c>
    </row>
    <row r="47" spans="2:29">
      <c r="D47" s="22" t="s">
        <v>49</v>
      </c>
      <c r="I47" s="59">
        <v>50</v>
      </c>
    </row>
    <row r="48" spans="2:29">
      <c r="D48" s="22" t="s">
        <v>50</v>
      </c>
      <c r="I48" s="59">
        <v>50</v>
      </c>
    </row>
    <row r="49" spans="1:95">
      <c r="I49" s="53"/>
    </row>
    <row r="51" spans="1:95">
      <c r="D51" s="23"/>
      <c r="E51" s="24"/>
      <c r="F51" s="47">
        <f>+$I$4</f>
        <v>38367</v>
      </c>
      <c r="G51" s="47">
        <f t="shared" ref="G51:Q51" si="3">F51+30.42</f>
        <v>38397.42</v>
      </c>
      <c r="H51" s="47">
        <f t="shared" si="3"/>
        <v>38427.839999999997</v>
      </c>
      <c r="I51" s="47">
        <f t="shared" si="3"/>
        <v>38458.259999999995</v>
      </c>
      <c r="J51" s="47">
        <f t="shared" si="3"/>
        <v>38488.679999999993</v>
      </c>
      <c r="K51" s="47">
        <f t="shared" si="3"/>
        <v>38519.099999999991</v>
      </c>
      <c r="L51" s="47">
        <f t="shared" si="3"/>
        <v>38549.51999999999</v>
      </c>
      <c r="M51" s="47">
        <f t="shared" si="3"/>
        <v>38579.939999999988</v>
      </c>
      <c r="N51" s="47">
        <f t="shared" si="3"/>
        <v>38610.359999999986</v>
      </c>
      <c r="O51" s="47">
        <f t="shared" si="3"/>
        <v>38640.779999999984</v>
      </c>
      <c r="P51" s="47">
        <f t="shared" si="3"/>
        <v>38671.199999999983</v>
      </c>
      <c r="Q51" s="47">
        <f t="shared" si="3"/>
        <v>38701.619999999981</v>
      </c>
      <c r="R51" s="47">
        <f>+Q51+30.42</f>
        <v>38732.039999999979</v>
      </c>
      <c r="S51" s="47">
        <f>+R51+30.42</f>
        <v>38762.459999999977</v>
      </c>
      <c r="T51" s="47">
        <f t="shared" ref="T51:AC51" si="4">+S51+30.42</f>
        <v>38792.879999999976</v>
      </c>
      <c r="U51" s="47">
        <f t="shared" si="4"/>
        <v>38823.299999999974</v>
      </c>
      <c r="V51" s="47">
        <f t="shared" si="4"/>
        <v>38853.719999999972</v>
      </c>
      <c r="W51" s="47">
        <f t="shared" si="4"/>
        <v>38884.13999999997</v>
      </c>
      <c r="X51" s="47">
        <f t="shared" si="4"/>
        <v>38914.559999999969</v>
      </c>
      <c r="Y51" s="47">
        <f t="shared" si="4"/>
        <v>38944.979999999967</v>
      </c>
      <c r="Z51" s="47">
        <f t="shared" si="4"/>
        <v>38975.399999999965</v>
      </c>
      <c r="AA51" s="47">
        <f t="shared" si="4"/>
        <v>39005.819999999963</v>
      </c>
      <c r="AB51" s="47">
        <f t="shared" si="4"/>
        <v>39036.239999999962</v>
      </c>
      <c r="AC51" s="47">
        <f t="shared" si="4"/>
        <v>39066.65999999996</v>
      </c>
      <c r="AD51" s="48"/>
      <c r="AE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row>
    <row r="52" spans="1:95">
      <c r="D52" s="27" t="s">
        <v>51</v>
      </c>
      <c r="E52" s="25"/>
      <c r="F52" s="45">
        <f>ROUND(F33*$I$40,0)</f>
        <v>17</v>
      </c>
      <c r="G52" s="45">
        <f>+F52</f>
        <v>17</v>
      </c>
      <c r="H52" s="45">
        <f t="shared" ref="H52:AC52" si="5">+G52</f>
        <v>17</v>
      </c>
      <c r="I52" s="45">
        <f t="shared" si="5"/>
        <v>17</v>
      </c>
      <c r="J52" s="45">
        <f t="shared" si="5"/>
        <v>17</v>
      </c>
      <c r="K52" s="45">
        <f t="shared" si="5"/>
        <v>17</v>
      </c>
      <c r="L52" s="45">
        <f t="shared" si="5"/>
        <v>17</v>
      </c>
      <c r="M52" s="45">
        <f t="shared" si="5"/>
        <v>17</v>
      </c>
      <c r="N52" s="45">
        <f t="shared" si="5"/>
        <v>17</v>
      </c>
      <c r="O52" s="45">
        <f t="shared" si="5"/>
        <v>17</v>
      </c>
      <c r="P52" s="45">
        <f t="shared" si="5"/>
        <v>17</v>
      </c>
      <c r="Q52" s="45">
        <f t="shared" si="5"/>
        <v>17</v>
      </c>
      <c r="R52" s="45">
        <f t="shared" si="5"/>
        <v>17</v>
      </c>
      <c r="S52" s="45">
        <f t="shared" si="5"/>
        <v>17</v>
      </c>
      <c r="T52" s="45">
        <f t="shared" si="5"/>
        <v>17</v>
      </c>
      <c r="U52" s="45">
        <f t="shared" si="5"/>
        <v>17</v>
      </c>
      <c r="V52" s="45">
        <f t="shared" si="5"/>
        <v>17</v>
      </c>
      <c r="W52" s="45">
        <f t="shared" si="5"/>
        <v>17</v>
      </c>
      <c r="X52" s="45">
        <f t="shared" si="5"/>
        <v>17</v>
      </c>
      <c r="Y52" s="45">
        <f t="shared" si="5"/>
        <v>17</v>
      </c>
      <c r="Z52" s="45">
        <f t="shared" si="5"/>
        <v>17</v>
      </c>
      <c r="AA52" s="45">
        <f t="shared" si="5"/>
        <v>17</v>
      </c>
      <c r="AB52" s="45">
        <f t="shared" si="5"/>
        <v>17</v>
      </c>
      <c r="AC52" s="45">
        <f t="shared" si="5"/>
        <v>17</v>
      </c>
    </row>
    <row r="53" spans="1:95">
      <c r="D53" s="27" t="s">
        <v>52</v>
      </c>
      <c r="E53" s="25"/>
      <c r="F53" s="55">
        <f>ROUND(F34*$I$40,0)</f>
        <v>1</v>
      </c>
      <c r="G53" s="55">
        <f t="shared" ref="G53:AC53" si="6">ROUND(G34*$I$40,0)</f>
        <v>2</v>
      </c>
      <c r="H53" s="55">
        <f t="shared" si="6"/>
        <v>2</v>
      </c>
      <c r="I53" s="55">
        <f t="shared" si="6"/>
        <v>3</v>
      </c>
      <c r="J53" s="55">
        <f t="shared" si="6"/>
        <v>4</v>
      </c>
      <c r="K53" s="55">
        <f t="shared" si="6"/>
        <v>4</v>
      </c>
      <c r="L53" s="55">
        <f t="shared" si="6"/>
        <v>5</v>
      </c>
      <c r="M53" s="55">
        <f t="shared" si="6"/>
        <v>5</v>
      </c>
      <c r="N53" s="55">
        <f t="shared" si="6"/>
        <v>5</v>
      </c>
      <c r="O53" s="55">
        <f t="shared" si="6"/>
        <v>5</v>
      </c>
      <c r="P53" s="55">
        <f t="shared" si="6"/>
        <v>6</v>
      </c>
      <c r="Q53" s="55">
        <f t="shared" si="6"/>
        <v>6</v>
      </c>
      <c r="R53" s="55">
        <f t="shared" si="6"/>
        <v>6</v>
      </c>
      <c r="S53" s="55">
        <f t="shared" si="6"/>
        <v>6</v>
      </c>
      <c r="T53" s="55">
        <f t="shared" si="6"/>
        <v>6</v>
      </c>
      <c r="U53" s="55">
        <f t="shared" si="6"/>
        <v>6</v>
      </c>
      <c r="V53" s="55">
        <f t="shared" si="6"/>
        <v>6</v>
      </c>
      <c r="W53" s="55">
        <f t="shared" si="6"/>
        <v>6</v>
      </c>
      <c r="X53" s="55">
        <f t="shared" si="6"/>
        <v>6</v>
      </c>
      <c r="Y53" s="55">
        <f t="shared" si="6"/>
        <v>6</v>
      </c>
      <c r="Z53" s="55">
        <f t="shared" si="6"/>
        <v>6</v>
      </c>
      <c r="AA53" s="55">
        <f t="shared" si="6"/>
        <v>6</v>
      </c>
      <c r="AB53" s="55">
        <f t="shared" si="6"/>
        <v>6</v>
      </c>
      <c r="AC53" s="55">
        <f t="shared" si="6"/>
        <v>6</v>
      </c>
    </row>
    <row r="54" spans="1:95">
      <c r="D54" s="27" t="s">
        <v>53</v>
      </c>
      <c r="E54" s="31"/>
      <c r="F54" s="45">
        <f>ROUND(F53*($I$42*$I$43*260/12),0)</f>
        <v>65</v>
      </c>
      <c r="G54" s="45">
        <f t="shared" ref="G54:AC54" si="7">ROUND(G53*($I$42*$I$43*260/12),0)</f>
        <v>130</v>
      </c>
      <c r="H54" s="45">
        <f t="shared" si="7"/>
        <v>130</v>
      </c>
      <c r="I54" s="45">
        <f t="shared" si="7"/>
        <v>195</v>
      </c>
      <c r="J54" s="45">
        <f t="shared" si="7"/>
        <v>260</v>
      </c>
      <c r="K54" s="45">
        <f t="shared" si="7"/>
        <v>260</v>
      </c>
      <c r="L54" s="45">
        <f t="shared" si="7"/>
        <v>325</v>
      </c>
      <c r="M54" s="45">
        <f t="shared" si="7"/>
        <v>325</v>
      </c>
      <c r="N54" s="45">
        <f t="shared" si="7"/>
        <v>325</v>
      </c>
      <c r="O54" s="45">
        <f t="shared" si="7"/>
        <v>325</v>
      </c>
      <c r="P54" s="45">
        <f t="shared" si="7"/>
        <v>390</v>
      </c>
      <c r="Q54" s="45">
        <f t="shared" si="7"/>
        <v>390</v>
      </c>
      <c r="R54" s="45">
        <f t="shared" si="7"/>
        <v>390</v>
      </c>
      <c r="S54" s="45">
        <f t="shared" si="7"/>
        <v>390</v>
      </c>
      <c r="T54" s="45">
        <f t="shared" si="7"/>
        <v>390</v>
      </c>
      <c r="U54" s="45">
        <f t="shared" si="7"/>
        <v>390</v>
      </c>
      <c r="V54" s="45">
        <f t="shared" si="7"/>
        <v>390</v>
      </c>
      <c r="W54" s="45">
        <f t="shared" si="7"/>
        <v>390</v>
      </c>
      <c r="X54" s="45">
        <f t="shared" si="7"/>
        <v>390</v>
      </c>
      <c r="Y54" s="45">
        <f t="shared" si="7"/>
        <v>390</v>
      </c>
      <c r="Z54" s="45">
        <f t="shared" si="7"/>
        <v>390</v>
      </c>
      <c r="AA54" s="45">
        <f t="shared" si="7"/>
        <v>390</v>
      </c>
      <c r="AB54" s="45">
        <f t="shared" si="7"/>
        <v>390</v>
      </c>
      <c r="AC54" s="45">
        <f t="shared" si="7"/>
        <v>390</v>
      </c>
    </row>
    <row r="55" spans="1:95">
      <c r="D55" s="27" t="s">
        <v>54</v>
      </c>
      <c r="E55" s="31"/>
      <c r="F55" s="45">
        <f t="shared" ref="F55:AC55" si="8">ROUND(F54*$I$44*$I$10,0)</f>
        <v>20</v>
      </c>
      <c r="G55" s="45">
        <f t="shared" si="8"/>
        <v>39</v>
      </c>
      <c r="H55" s="45">
        <f t="shared" si="8"/>
        <v>39</v>
      </c>
      <c r="I55" s="45">
        <f t="shared" si="8"/>
        <v>59</v>
      </c>
      <c r="J55" s="45">
        <f t="shared" si="8"/>
        <v>78</v>
      </c>
      <c r="K55" s="45">
        <f t="shared" si="8"/>
        <v>78</v>
      </c>
      <c r="L55" s="45">
        <f t="shared" si="8"/>
        <v>98</v>
      </c>
      <c r="M55" s="45">
        <f t="shared" si="8"/>
        <v>98</v>
      </c>
      <c r="N55" s="45">
        <f t="shared" si="8"/>
        <v>98</v>
      </c>
      <c r="O55" s="45">
        <f t="shared" si="8"/>
        <v>98</v>
      </c>
      <c r="P55" s="45">
        <f t="shared" si="8"/>
        <v>117</v>
      </c>
      <c r="Q55" s="45">
        <f t="shared" si="8"/>
        <v>117</v>
      </c>
      <c r="R55" s="45">
        <f t="shared" si="8"/>
        <v>117</v>
      </c>
      <c r="S55" s="45">
        <f t="shared" si="8"/>
        <v>117</v>
      </c>
      <c r="T55" s="45">
        <f t="shared" si="8"/>
        <v>117</v>
      </c>
      <c r="U55" s="45">
        <f t="shared" si="8"/>
        <v>117</v>
      </c>
      <c r="V55" s="45">
        <f t="shared" si="8"/>
        <v>117</v>
      </c>
      <c r="W55" s="45">
        <f t="shared" si="8"/>
        <v>117</v>
      </c>
      <c r="X55" s="45">
        <f t="shared" si="8"/>
        <v>117</v>
      </c>
      <c r="Y55" s="45">
        <f t="shared" si="8"/>
        <v>117</v>
      </c>
      <c r="Z55" s="45">
        <f t="shared" si="8"/>
        <v>117</v>
      </c>
      <c r="AA55" s="45">
        <f t="shared" si="8"/>
        <v>117</v>
      </c>
      <c r="AB55" s="45">
        <f t="shared" si="8"/>
        <v>117</v>
      </c>
      <c r="AC55" s="45">
        <f t="shared" si="8"/>
        <v>117</v>
      </c>
    </row>
    <row r="56" spans="1:95">
      <c r="D56" s="27" t="s">
        <v>55</v>
      </c>
      <c r="E56" s="31"/>
      <c r="F56" s="45">
        <f>+F53*$I$41*$I$42*21.6666666666667</f>
        <v>1040.0000000000016</v>
      </c>
      <c r="G56" s="45">
        <f t="shared" ref="G56:AC56" si="9">+G53*$I$41*$I$42*21.6666666666667</f>
        <v>2080.0000000000032</v>
      </c>
      <c r="H56" s="45">
        <f t="shared" si="9"/>
        <v>2080.0000000000032</v>
      </c>
      <c r="I56" s="45">
        <f t="shared" si="9"/>
        <v>3120.0000000000045</v>
      </c>
      <c r="J56" s="45">
        <f t="shared" si="9"/>
        <v>4160.0000000000064</v>
      </c>
      <c r="K56" s="45">
        <f t="shared" si="9"/>
        <v>4160.0000000000064</v>
      </c>
      <c r="L56" s="45">
        <f t="shared" si="9"/>
        <v>5200.0000000000082</v>
      </c>
      <c r="M56" s="45">
        <f t="shared" si="9"/>
        <v>5200.0000000000082</v>
      </c>
      <c r="N56" s="45">
        <f t="shared" si="9"/>
        <v>5200.0000000000082</v>
      </c>
      <c r="O56" s="45">
        <f t="shared" si="9"/>
        <v>5200.0000000000082</v>
      </c>
      <c r="P56" s="45">
        <f t="shared" si="9"/>
        <v>6240.0000000000091</v>
      </c>
      <c r="Q56" s="45">
        <f t="shared" si="9"/>
        <v>6240.0000000000091</v>
      </c>
      <c r="R56" s="45">
        <f t="shared" si="9"/>
        <v>6240.0000000000091</v>
      </c>
      <c r="S56" s="45">
        <f t="shared" si="9"/>
        <v>6240.0000000000091</v>
      </c>
      <c r="T56" s="45">
        <f t="shared" si="9"/>
        <v>6240.0000000000091</v>
      </c>
      <c r="U56" s="45">
        <f t="shared" si="9"/>
        <v>6240.0000000000091</v>
      </c>
      <c r="V56" s="45">
        <f t="shared" si="9"/>
        <v>6240.0000000000091</v>
      </c>
      <c r="W56" s="45">
        <f t="shared" si="9"/>
        <v>6240.0000000000091</v>
      </c>
      <c r="X56" s="45">
        <f t="shared" si="9"/>
        <v>6240.0000000000091</v>
      </c>
      <c r="Y56" s="45">
        <f t="shared" si="9"/>
        <v>6240.0000000000091</v>
      </c>
      <c r="Z56" s="45">
        <f t="shared" si="9"/>
        <v>6240.0000000000091</v>
      </c>
      <c r="AA56" s="45">
        <f t="shared" si="9"/>
        <v>6240.0000000000091</v>
      </c>
      <c r="AB56" s="45">
        <f t="shared" si="9"/>
        <v>6240.0000000000091</v>
      </c>
      <c r="AC56" s="45">
        <f t="shared" si="9"/>
        <v>6240.0000000000091</v>
      </c>
    </row>
    <row r="57" spans="1:95">
      <c r="D57" s="27" t="s">
        <v>56</v>
      </c>
      <c r="E57" s="31"/>
      <c r="F57" s="31">
        <f>+F54*$I$46</f>
        <v>975</v>
      </c>
      <c r="G57" s="45">
        <f t="shared" ref="G57:AC57" si="10">+G54*$I$46</f>
        <v>1950</v>
      </c>
      <c r="H57" s="45">
        <f t="shared" si="10"/>
        <v>1950</v>
      </c>
      <c r="I57" s="45">
        <f t="shared" si="10"/>
        <v>2925</v>
      </c>
      <c r="J57" s="45">
        <f t="shared" si="10"/>
        <v>3900</v>
      </c>
      <c r="K57" s="45">
        <f t="shared" si="10"/>
        <v>3900</v>
      </c>
      <c r="L57" s="45">
        <f t="shared" si="10"/>
        <v>4875</v>
      </c>
      <c r="M57" s="45">
        <f t="shared" si="10"/>
        <v>4875</v>
      </c>
      <c r="N57" s="45">
        <f t="shared" si="10"/>
        <v>4875</v>
      </c>
      <c r="O57" s="45">
        <f t="shared" si="10"/>
        <v>4875</v>
      </c>
      <c r="P57" s="45">
        <f t="shared" si="10"/>
        <v>5850</v>
      </c>
      <c r="Q57" s="45">
        <f t="shared" si="10"/>
        <v>5850</v>
      </c>
      <c r="R57" s="45">
        <f t="shared" si="10"/>
        <v>5850</v>
      </c>
      <c r="S57" s="45">
        <f t="shared" si="10"/>
        <v>5850</v>
      </c>
      <c r="T57" s="45">
        <f t="shared" si="10"/>
        <v>5850</v>
      </c>
      <c r="U57" s="45">
        <f t="shared" si="10"/>
        <v>5850</v>
      </c>
      <c r="V57" s="45">
        <f t="shared" si="10"/>
        <v>5850</v>
      </c>
      <c r="W57" s="45">
        <f t="shared" si="10"/>
        <v>5850</v>
      </c>
      <c r="X57" s="45">
        <f t="shared" si="10"/>
        <v>5850</v>
      </c>
      <c r="Y57" s="45">
        <f t="shared" si="10"/>
        <v>5850</v>
      </c>
      <c r="Z57" s="45">
        <f t="shared" si="10"/>
        <v>5850</v>
      </c>
      <c r="AA57" s="45">
        <f t="shared" si="10"/>
        <v>5850</v>
      </c>
      <c r="AB57" s="45">
        <f t="shared" si="10"/>
        <v>5850</v>
      </c>
      <c r="AC57" s="45">
        <f t="shared" si="10"/>
        <v>5850</v>
      </c>
    </row>
    <row r="58" spans="1:95">
      <c r="D58" s="27" t="s">
        <v>57</v>
      </c>
      <c r="E58" s="31"/>
      <c r="F58" s="45">
        <f>+F55*$I$47</f>
        <v>1000</v>
      </c>
      <c r="G58" s="45">
        <f t="shared" ref="G58:AC58" si="11">+G55*$I$47</f>
        <v>1950</v>
      </c>
      <c r="H58" s="45">
        <f t="shared" si="11"/>
        <v>1950</v>
      </c>
      <c r="I58" s="45">
        <f t="shared" si="11"/>
        <v>2950</v>
      </c>
      <c r="J58" s="45">
        <f t="shared" si="11"/>
        <v>3900</v>
      </c>
      <c r="K58" s="45">
        <f t="shared" si="11"/>
        <v>3900</v>
      </c>
      <c r="L58" s="45">
        <f t="shared" si="11"/>
        <v>4900</v>
      </c>
      <c r="M58" s="45">
        <f t="shared" si="11"/>
        <v>4900</v>
      </c>
      <c r="N58" s="45">
        <f t="shared" si="11"/>
        <v>4900</v>
      </c>
      <c r="O58" s="45">
        <f t="shared" si="11"/>
        <v>4900</v>
      </c>
      <c r="P58" s="45">
        <f t="shared" si="11"/>
        <v>5850</v>
      </c>
      <c r="Q58" s="45">
        <f t="shared" si="11"/>
        <v>5850</v>
      </c>
      <c r="R58" s="45">
        <f t="shared" si="11"/>
        <v>5850</v>
      </c>
      <c r="S58" s="45">
        <f t="shared" si="11"/>
        <v>5850</v>
      </c>
      <c r="T58" s="45">
        <f t="shared" si="11"/>
        <v>5850</v>
      </c>
      <c r="U58" s="45">
        <f t="shared" si="11"/>
        <v>5850</v>
      </c>
      <c r="V58" s="45">
        <f t="shared" si="11"/>
        <v>5850</v>
      </c>
      <c r="W58" s="45">
        <f t="shared" si="11"/>
        <v>5850</v>
      </c>
      <c r="X58" s="45">
        <f t="shared" si="11"/>
        <v>5850</v>
      </c>
      <c r="Y58" s="45">
        <f t="shared" si="11"/>
        <v>5850</v>
      </c>
      <c r="Z58" s="45">
        <f t="shared" si="11"/>
        <v>5850</v>
      </c>
      <c r="AA58" s="45">
        <f t="shared" si="11"/>
        <v>5850</v>
      </c>
      <c r="AB58" s="45">
        <f t="shared" si="11"/>
        <v>5850</v>
      </c>
      <c r="AC58" s="45">
        <f t="shared" si="11"/>
        <v>5850</v>
      </c>
    </row>
    <row r="59" spans="1:95">
      <c r="D59" s="27" t="s">
        <v>58</v>
      </c>
      <c r="E59" s="31"/>
      <c r="F59" s="45">
        <f>-F55*$I$48</f>
        <v>-1000</v>
      </c>
      <c r="G59" s="45">
        <f t="shared" ref="G59:AC59" si="12">-G55*$I$48</f>
        <v>-1950</v>
      </c>
      <c r="H59" s="45">
        <f t="shared" si="12"/>
        <v>-1950</v>
      </c>
      <c r="I59" s="45">
        <f t="shared" si="12"/>
        <v>-2950</v>
      </c>
      <c r="J59" s="45">
        <f t="shared" si="12"/>
        <v>-3900</v>
      </c>
      <c r="K59" s="45">
        <f t="shared" si="12"/>
        <v>-3900</v>
      </c>
      <c r="L59" s="45">
        <f t="shared" si="12"/>
        <v>-4900</v>
      </c>
      <c r="M59" s="45">
        <f t="shared" si="12"/>
        <v>-4900</v>
      </c>
      <c r="N59" s="45">
        <f t="shared" si="12"/>
        <v>-4900</v>
      </c>
      <c r="O59" s="45">
        <f t="shared" si="12"/>
        <v>-4900</v>
      </c>
      <c r="P59" s="45">
        <f t="shared" si="12"/>
        <v>-5850</v>
      </c>
      <c r="Q59" s="45">
        <f t="shared" si="12"/>
        <v>-5850</v>
      </c>
      <c r="R59" s="45">
        <f t="shared" si="12"/>
        <v>-5850</v>
      </c>
      <c r="S59" s="45">
        <f t="shared" si="12"/>
        <v>-5850</v>
      </c>
      <c r="T59" s="45">
        <f t="shared" si="12"/>
        <v>-5850</v>
      </c>
      <c r="U59" s="45">
        <f t="shared" si="12"/>
        <v>-5850</v>
      </c>
      <c r="V59" s="45">
        <f t="shared" si="12"/>
        <v>-5850</v>
      </c>
      <c r="W59" s="45">
        <f t="shared" si="12"/>
        <v>-5850</v>
      </c>
      <c r="X59" s="45">
        <f t="shared" si="12"/>
        <v>-5850</v>
      </c>
      <c r="Y59" s="45">
        <f t="shared" si="12"/>
        <v>-5850</v>
      </c>
      <c r="Z59" s="45">
        <f t="shared" si="12"/>
        <v>-5850</v>
      </c>
      <c r="AA59" s="45">
        <f t="shared" si="12"/>
        <v>-5850</v>
      </c>
      <c r="AB59" s="45">
        <f t="shared" si="12"/>
        <v>-5850</v>
      </c>
      <c r="AC59" s="45">
        <f t="shared" si="12"/>
        <v>-5850</v>
      </c>
    </row>
    <row r="60" spans="1:95">
      <c r="D60" s="27" t="s">
        <v>59</v>
      </c>
      <c r="E60" s="31"/>
      <c r="F60" s="45">
        <f>SUM(F56:F59)</f>
        <v>2015.0000000000018</v>
      </c>
      <c r="G60" s="45">
        <f t="shared" ref="G60:AC60" si="13">SUM(G56:G59)</f>
        <v>4030.0000000000036</v>
      </c>
      <c r="H60" s="45">
        <f t="shared" si="13"/>
        <v>4030.0000000000036</v>
      </c>
      <c r="I60" s="45">
        <f t="shared" si="13"/>
        <v>6045.0000000000036</v>
      </c>
      <c r="J60" s="45">
        <f t="shared" si="13"/>
        <v>8060.0000000000073</v>
      </c>
      <c r="K60" s="45">
        <f t="shared" si="13"/>
        <v>8060.0000000000073</v>
      </c>
      <c r="L60" s="45">
        <f t="shared" si="13"/>
        <v>10075.000000000007</v>
      </c>
      <c r="M60" s="45">
        <f t="shared" si="13"/>
        <v>10075.000000000007</v>
      </c>
      <c r="N60" s="45">
        <f t="shared" si="13"/>
        <v>10075.000000000007</v>
      </c>
      <c r="O60" s="45">
        <f t="shared" si="13"/>
        <v>10075.000000000007</v>
      </c>
      <c r="P60" s="45">
        <f t="shared" si="13"/>
        <v>12090.000000000007</v>
      </c>
      <c r="Q60" s="45">
        <f t="shared" si="13"/>
        <v>12090.000000000007</v>
      </c>
      <c r="R60" s="45">
        <f t="shared" si="13"/>
        <v>12090.000000000007</v>
      </c>
      <c r="S60" s="45">
        <f t="shared" si="13"/>
        <v>12090.000000000007</v>
      </c>
      <c r="T60" s="45">
        <f t="shared" si="13"/>
        <v>12090.000000000007</v>
      </c>
      <c r="U60" s="45">
        <f t="shared" si="13"/>
        <v>12090.000000000007</v>
      </c>
      <c r="V60" s="45">
        <f t="shared" si="13"/>
        <v>12090.000000000007</v>
      </c>
      <c r="W60" s="45">
        <f t="shared" si="13"/>
        <v>12090.000000000007</v>
      </c>
      <c r="X60" s="45">
        <f t="shared" si="13"/>
        <v>12090.000000000007</v>
      </c>
      <c r="Y60" s="45">
        <f t="shared" si="13"/>
        <v>12090.000000000007</v>
      </c>
      <c r="Z60" s="45">
        <f t="shared" si="13"/>
        <v>12090.000000000007</v>
      </c>
      <c r="AA60" s="45">
        <f t="shared" si="13"/>
        <v>12090.000000000007</v>
      </c>
      <c r="AB60" s="45">
        <f t="shared" si="13"/>
        <v>12090.000000000007</v>
      </c>
      <c r="AC60" s="45">
        <f t="shared" si="13"/>
        <v>12090.000000000007</v>
      </c>
    </row>
    <row r="63" spans="1:95">
      <c r="A63" s="54" t="s">
        <v>60</v>
      </c>
    </row>
    <row r="64" spans="1:95">
      <c r="B64" s="69" t="s">
        <v>61</v>
      </c>
      <c r="C64" s="56"/>
      <c r="D64" s="70"/>
      <c r="E64" s="68">
        <v>18</v>
      </c>
      <c r="F64" s="55">
        <v>3100</v>
      </c>
      <c r="G64" s="55">
        <f t="shared" ref="G64:Q64" si="14">+F64</f>
        <v>3100</v>
      </c>
      <c r="H64" s="55">
        <f t="shared" si="14"/>
        <v>3100</v>
      </c>
      <c r="I64" s="55">
        <f t="shared" si="14"/>
        <v>3100</v>
      </c>
      <c r="J64" s="55">
        <f t="shared" si="14"/>
        <v>3100</v>
      </c>
      <c r="K64" s="55">
        <f t="shared" si="14"/>
        <v>3100</v>
      </c>
      <c r="L64" s="55">
        <f t="shared" si="14"/>
        <v>3100</v>
      </c>
      <c r="M64" s="55">
        <f t="shared" si="14"/>
        <v>3100</v>
      </c>
      <c r="N64" s="55">
        <f t="shared" si="14"/>
        <v>3100</v>
      </c>
      <c r="O64" s="55">
        <f t="shared" si="14"/>
        <v>3100</v>
      </c>
      <c r="P64" s="55">
        <f t="shared" si="14"/>
        <v>3100</v>
      </c>
      <c r="Q64" s="55">
        <f t="shared" si="14"/>
        <v>3100</v>
      </c>
      <c r="R64" s="55">
        <f t="shared" ref="R64:AC64" si="15">+Q64</f>
        <v>3100</v>
      </c>
      <c r="S64" s="55">
        <f t="shared" si="15"/>
        <v>3100</v>
      </c>
      <c r="T64" s="55">
        <f t="shared" si="15"/>
        <v>3100</v>
      </c>
      <c r="U64" s="55">
        <f t="shared" si="15"/>
        <v>3100</v>
      </c>
      <c r="V64" s="55">
        <f t="shared" si="15"/>
        <v>3100</v>
      </c>
      <c r="W64" s="55">
        <f t="shared" si="15"/>
        <v>3100</v>
      </c>
      <c r="X64" s="55">
        <f t="shared" si="15"/>
        <v>3100</v>
      </c>
      <c r="Y64" s="55">
        <f t="shared" si="15"/>
        <v>3100</v>
      </c>
      <c r="Z64" s="55">
        <f t="shared" si="15"/>
        <v>3100</v>
      </c>
      <c r="AA64" s="55">
        <f t="shared" si="15"/>
        <v>3100</v>
      </c>
      <c r="AB64" s="55">
        <f t="shared" si="15"/>
        <v>3100</v>
      </c>
      <c r="AC64" s="55">
        <f t="shared" si="15"/>
        <v>3100</v>
      </c>
    </row>
    <row r="65" spans="1:29">
      <c r="B65" s="71" t="s">
        <v>62</v>
      </c>
      <c r="C65" s="55"/>
      <c r="D65" s="70"/>
      <c r="E65" s="68">
        <v>12.5</v>
      </c>
      <c r="F65" s="55">
        <v>2200</v>
      </c>
      <c r="G65" s="55">
        <f t="shared" ref="G65:Q65" si="16">+F65</f>
        <v>2200</v>
      </c>
      <c r="H65" s="55">
        <f t="shared" si="16"/>
        <v>2200</v>
      </c>
      <c r="I65" s="55">
        <f t="shared" si="16"/>
        <v>2200</v>
      </c>
      <c r="J65" s="55">
        <f t="shared" si="16"/>
        <v>2200</v>
      </c>
      <c r="K65" s="55">
        <f t="shared" si="16"/>
        <v>2200</v>
      </c>
      <c r="L65" s="55">
        <f t="shared" si="16"/>
        <v>2200</v>
      </c>
      <c r="M65" s="55">
        <f t="shared" si="16"/>
        <v>2200</v>
      </c>
      <c r="N65" s="55">
        <f t="shared" si="16"/>
        <v>2200</v>
      </c>
      <c r="O65" s="55">
        <f t="shared" si="16"/>
        <v>2200</v>
      </c>
      <c r="P65" s="55">
        <f t="shared" si="16"/>
        <v>2200</v>
      </c>
      <c r="Q65" s="55">
        <f t="shared" si="16"/>
        <v>2200</v>
      </c>
      <c r="R65" s="55">
        <f t="shared" ref="R65:AC65" si="17">+Q65</f>
        <v>2200</v>
      </c>
      <c r="S65" s="55">
        <f t="shared" si="17"/>
        <v>2200</v>
      </c>
      <c r="T65" s="55">
        <f t="shared" si="17"/>
        <v>2200</v>
      </c>
      <c r="U65" s="55">
        <f t="shared" si="17"/>
        <v>2200</v>
      </c>
      <c r="V65" s="55">
        <f t="shared" si="17"/>
        <v>2200</v>
      </c>
      <c r="W65" s="55">
        <f t="shared" si="17"/>
        <v>2200</v>
      </c>
      <c r="X65" s="55">
        <f t="shared" si="17"/>
        <v>2200</v>
      </c>
      <c r="Y65" s="55">
        <f t="shared" si="17"/>
        <v>2200</v>
      </c>
      <c r="Z65" s="55">
        <f t="shared" si="17"/>
        <v>2200</v>
      </c>
      <c r="AA65" s="55">
        <f t="shared" si="17"/>
        <v>2200</v>
      </c>
      <c r="AB65" s="55">
        <f t="shared" si="17"/>
        <v>2200</v>
      </c>
      <c r="AC65" s="55">
        <f t="shared" si="17"/>
        <v>2200</v>
      </c>
    </row>
    <row r="66" spans="1:29">
      <c r="B66" s="69" t="s">
        <v>63</v>
      </c>
      <c r="C66" s="56"/>
      <c r="D66" s="70"/>
      <c r="E66" s="68">
        <v>10</v>
      </c>
      <c r="F66" s="55">
        <v>1800</v>
      </c>
      <c r="G66" s="55">
        <f t="shared" ref="G66:Q66" si="18">+F66</f>
        <v>1800</v>
      </c>
      <c r="H66" s="55">
        <f t="shared" si="18"/>
        <v>1800</v>
      </c>
      <c r="I66" s="55">
        <f t="shared" si="18"/>
        <v>1800</v>
      </c>
      <c r="J66" s="55">
        <f t="shared" si="18"/>
        <v>1800</v>
      </c>
      <c r="K66" s="55">
        <f t="shared" si="18"/>
        <v>1800</v>
      </c>
      <c r="L66" s="55">
        <f t="shared" si="18"/>
        <v>1800</v>
      </c>
      <c r="M66" s="55">
        <f t="shared" si="18"/>
        <v>1800</v>
      </c>
      <c r="N66" s="55">
        <f t="shared" si="18"/>
        <v>1800</v>
      </c>
      <c r="O66" s="55">
        <f t="shared" si="18"/>
        <v>1800</v>
      </c>
      <c r="P66" s="55">
        <f t="shared" si="18"/>
        <v>1800</v>
      </c>
      <c r="Q66" s="55">
        <f t="shared" si="18"/>
        <v>1800</v>
      </c>
      <c r="R66" s="55">
        <f t="shared" ref="R66:AC66" si="19">+Q66</f>
        <v>1800</v>
      </c>
      <c r="S66" s="55">
        <f t="shared" si="19"/>
        <v>1800</v>
      </c>
      <c r="T66" s="55">
        <f t="shared" si="19"/>
        <v>1800</v>
      </c>
      <c r="U66" s="55">
        <f t="shared" si="19"/>
        <v>1800</v>
      </c>
      <c r="V66" s="55">
        <f t="shared" si="19"/>
        <v>1800</v>
      </c>
      <c r="W66" s="55">
        <f t="shared" si="19"/>
        <v>1800</v>
      </c>
      <c r="X66" s="55">
        <f t="shared" si="19"/>
        <v>1800</v>
      </c>
      <c r="Y66" s="55">
        <f t="shared" si="19"/>
        <v>1800</v>
      </c>
      <c r="Z66" s="55">
        <f t="shared" si="19"/>
        <v>1800</v>
      </c>
      <c r="AA66" s="55">
        <f t="shared" si="19"/>
        <v>1800</v>
      </c>
      <c r="AB66" s="55">
        <f t="shared" si="19"/>
        <v>1800</v>
      </c>
      <c r="AC66" s="55">
        <f t="shared" si="19"/>
        <v>1800</v>
      </c>
    </row>
    <row r="67" spans="1:29">
      <c r="B67" s="72" t="s">
        <v>64</v>
      </c>
      <c r="C67" s="73"/>
      <c r="D67" s="74"/>
      <c r="E67" s="68">
        <v>9</v>
      </c>
      <c r="F67" s="55"/>
      <c r="G67" s="55"/>
      <c r="H67" s="55"/>
      <c r="I67" s="55"/>
      <c r="J67" s="55"/>
      <c r="K67" s="55"/>
      <c r="L67" s="55">
        <v>1600</v>
      </c>
      <c r="M67" s="55">
        <v>2000</v>
      </c>
      <c r="N67" s="55">
        <v>2000</v>
      </c>
      <c r="O67" s="55">
        <v>2000</v>
      </c>
      <c r="P67" s="55">
        <v>2000</v>
      </c>
      <c r="Q67" s="55">
        <v>2000</v>
      </c>
      <c r="R67" s="55">
        <v>2000</v>
      </c>
      <c r="S67" s="55">
        <v>2000</v>
      </c>
      <c r="T67" s="55">
        <v>2000</v>
      </c>
      <c r="U67" s="55">
        <v>2000</v>
      </c>
      <c r="V67" s="55">
        <v>2000</v>
      </c>
      <c r="W67" s="55">
        <v>2000</v>
      </c>
      <c r="X67" s="55">
        <v>2000</v>
      </c>
      <c r="Y67" s="55">
        <v>2000</v>
      </c>
      <c r="Z67" s="55">
        <v>2000</v>
      </c>
      <c r="AA67" s="55">
        <v>2000</v>
      </c>
      <c r="AB67" s="55">
        <v>2000</v>
      </c>
      <c r="AC67" s="55">
        <v>2000</v>
      </c>
    </row>
    <row r="68" spans="1:29">
      <c r="B68" s="69" t="s">
        <v>65</v>
      </c>
      <c r="C68" s="70"/>
      <c r="D68" s="70"/>
      <c r="E68" s="68">
        <v>12.5</v>
      </c>
      <c r="F68" s="56"/>
      <c r="G68" s="55"/>
      <c r="H68" s="55"/>
      <c r="I68" s="55"/>
      <c r="J68" s="55"/>
      <c r="K68" s="55"/>
      <c r="L68" s="55">
        <v>2200</v>
      </c>
      <c r="M68" s="55">
        <f>+L68</f>
        <v>2200</v>
      </c>
      <c r="N68" s="55">
        <f>+M68</f>
        <v>2200</v>
      </c>
      <c r="O68" s="55">
        <f>+N68</f>
        <v>2200</v>
      </c>
      <c r="P68" s="55">
        <f>+O68</f>
        <v>2200</v>
      </c>
      <c r="Q68" s="55">
        <f>+P68</f>
        <v>2200</v>
      </c>
      <c r="R68" s="55">
        <f t="shared" ref="R68:AC69" si="20">+Q68</f>
        <v>2200</v>
      </c>
      <c r="S68" s="55">
        <f t="shared" si="20"/>
        <v>2200</v>
      </c>
      <c r="T68" s="55">
        <f t="shared" si="20"/>
        <v>2200</v>
      </c>
      <c r="U68" s="55">
        <f t="shared" si="20"/>
        <v>2200</v>
      </c>
      <c r="V68" s="55">
        <f t="shared" si="20"/>
        <v>2200</v>
      </c>
      <c r="W68" s="55">
        <f t="shared" si="20"/>
        <v>2200</v>
      </c>
      <c r="X68" s="55">
        <f t="shared" si="20"/>
        <v>2200</v>
      </c>
      <c r="Y68" s="55">
        <f t="shared" si="20"/>
        <v>2200</v>
      </c>
      <c r="Z68" s="55">
        <f t="shared" si="20"/>
        <v>2200</v>
      </c>
      <c r="AA68" s="55">
        <f t="shared" si="20"/>
        <v>2200</v>
      </c>
      <c r="AB68" s="55">
        <f t="shared" si="20"/>
        <v>2200</v>
      </c>
      <c r="AC68" s="55">
        <f t="shared" si="20"/>
        <v>2200</v>
      </c>
    </row>
    <row r="69" spans="1:29">
      <c r="B69" s="69" t="s">
        <v>66</v>
      </c>
      <c r="C69" s="70"/>
      <c r="D69" s="70"/>
      <c r="E69" s="68">
        <v>9</v>
      </c>
      <c r="F69" s="55"/>
      <c r="G69" s="55"/>
      <c r="H69" s="55"/>
      <c r="I69" s="55"/>
      <c r="J69" s="55"/>
      <c r="K69" s="55"/>
      <c r="L69" s="55"/>
      <c r="M69" s="55"/>
      <c r="N69" s="55"/>
      <c r="O69" s="55"/>
      <c r="P69" s="55"/>
      <c r="Q69" s="55"/>
      <c r="R69" s="55">
        <v>1800</v>
      </c>
      <c r="S69" s="55">
        <f>+R69</f>
        <v>1800</v>
      </c>
      <c r="T69" s="55">
        <f t="shared" si="20"/>
        <v>1800</v>
      </c>
      <c r="U69" s="55">
        <f t="shared" si="20"/>
        <v>1800</v>
      </c>
      <c r="V69" s="55">
        <f t="shared" si="20"/>
        <v>1800</v>
      </c>
      <c r="W69" s="55">
        <f t="shared" si="20"/>
        <v>1800</v>
      </c>
      <c r="X69" s="55">
        <f t="shared" si="20"/>
        <v>1800</v>
      </c>
      <c r="Y69" s="55">
        <f t="shared" si="20"/>
        <v>1800</v>
      </c>
      <c r="Z69" s="55">
        <f t="shared" si="20"/>
        <v>1800</v>
      </c>
      <c r="AA69" s="55">
        <f t="shared" si="20"/>
        <v>1800</v>
      </c>
      <c r="AB69" s="55">
        <f t="shared" si="20"/>
        <v>1800</v>
      </c>
      <c r="AC69" s="55">
        <f t="shared" si="20"/>
        <v>1800</v>
      </c>
    </row>
    <row r="70" spans="1:29">
      <c r="B70" s="69"/>
      <c r="C70" s="70"/>
      <c r="D70" s="70"/>
      <c r="E70" s="55"/>
      <c r="F70" s="55"/>
      <c r="G70" s="55"/>
      <c r="H70" s="55"/>
      <c r="I70" s="55"/>
      <c r="J70" s="55"/>
      <c r="K70" s="55"/>
      <c r="L70" s="55"/>
      <c r="M70" s="55"/>
      <c r="N70" s="55"/>
      <c r="O70" s="55"/>
      <c r="P70" s="55"/>
      <c r="Q70" s="55"/>
      <c r="R70" s="55"/>
      <c r="S70" s="55"/>
      <c r="T70" s="55"/>
      <c r="U70" s="55"/>
      <c r="V70" s="55"/>
      <c r="W70" s="55"/>
      <c r="X70" s="55"/>
      <c r="Y70" s="55"/>
      <c r="Z70" s="55"/>
      <c r="AA70" s="55"/>
      <c r="AB70" s="55"/>
      <c r="AC70" s="55"/>
    </row>
    <row r="71" spans="1:29">
      <c r="B71" s="69"/>
      <c r="C71" s="70"/>
      <c r="D71" s="70"/>
      <c r="E71" s="55"/>
      <c r="F71" s="55"/>
      <c r="G71" s="55"/>
      <c r="H71" s="55"/>
      <c r="I71" s="55"/>
      <c r="J71" s="55"/>
      <c r="K71" s="55"/>
      <c r="L71" s="55"/>
      <c r="M71" s="55"/>
      <c r="N71" s="55"/>
      <c r="O71" s="55"/>
      <c r="P71" s="55"/>
      <c r="Q71" s="55"/>
      <c r="R71" s="55"/>
      <c r="S71" s="55"/>
      <c r="T71" s="55"/>
      <c r="U71" s="55"/>
      <c r="V71" s="55"/>
      <c r="W71" s="55"/>
      <c r="X71" s="55"/>
      <c r="Y71" s="55"/>
      <c r="Z71" s="55"/>
      <c r="AA71" s="55"/>
      <c r="AB71" s="55"/>
      <c r="AC71" s="55"/>
    </row>
    <row r="72" spans="1:29">
      <c r="B72" s="69"/>
      <c r="C72" s="70"/>
      <c r="D72" s="70"/>
      <c r="E72" s="55"/>
      <c r="F72" s="55"/>
      <c r="G72" s="55"/>
      <c r="H72" s="55"/>
      <c r="I72" s="55"/>
      <c r="J72" s="55"/>
      <c r="K72" s="55"/>
      <c r="L72" s="55"/>
      <c r="M72" s="55"/>
      <c r="N72" s="55"/>
      <c r="O72" s="55"/>
      <c r="P72" s="55"/>
      <c r="Q72" s="55"/>
      <c r="R72" s="55"/>
      <c r="S72" s="55"/>
      <c r="T72" s="55"/>
      <c r="U72" s="55"/>
      <c r="V72" s="55"/>
      <c r="W72" s="55"/>
      <c r="X72" s="55"/>
      <c r="Y72" s="55"/>
      <c r="Z72" s="55"/>
      <c r="AA72" s="55"/>
      <c r="AB72" s="55"/>
      <c r="AC72" s="55"/>
    </row>
    <row r="73" spans="1:29">
      <c r="B73" s="69"/>
      <c r="C73" s="70"/>
      <c r="D73" s="70"/>
      <c r="E73" s="55"/>
      <c r="F73" s="55"/>
      <c r="G73" s="55"/>
      <c r="H73" s="55"/>
      <c r="I73" s="55"/>
      <c r="J73" s="55"/>
      <c r="K73" s="55"/>
      <c r="L73" s="55"/>
      <c r="M73" s="55"/>
      <c r="N73" s="55"/>
      <c r="O73" s="55"/>
      <c r="P73" s="55"/>
      <c r="Q73" s="55"/>
      <c r="R73" s="55"/>
      <c r="S73" s="55"/>
      <c r="T73" s="55"/>
      <c r="U73" s="55"/>
      <c r="V73" s="55"/>
      <c r="W73" s="55"/>
      <c r="X73" s="55"/>
      <c r="Y73" s="55"/>
      <c r="Z73" s="55"/>
      <c r="AA73" s="55"/>
      <c r="AB73" s="55"/>
      <c r="AC73" s="55"/>
    </row>
    <row r="74" spans="1:29">
      <c r="B74" s="69"/>
      <c r="C74" s="70"/>
      <c r="D74" s="70"/>
      <c r="E74" s="55"/>
      <c r="F74" s="55"/>
      <c r="G74" s="55"/>
      <c r="H74" s="55"/>
      <c r="I74" s="55"/>
      <c r="J74" s="55"/>
      <c r="K74" s="55"/>
      <c r="L74" s="55"/>
      <c r="M74" s="55"/>
      <c r="N74" s="55"/>
      <c r="O74" s="55"/>
      <c r="P74" s="55"/>
      <c r="Q74" s="55"/>
      <c r="R74" s="55"/>
      <c r="S74" s="55"/>
      <c r="T74" s="55"/>
      <c r="U74" s="55"/>
      <c r="V74" s="55"/>
      <c r="W74" s="55"/>
      <c r="X74" s="55"/>
      <c r="Y74" s="55"/>
      <c r="Z74" s="55"/>
      <c r="AA74" s="55"/>
      <c r="AB74" s="55"/>
      <c r="AC74" s="55"/>
    </row>
    <row r="75" spans="1:29">
      <c r="F75" s="57"/>
      <c r="G75" s="57"/>
      <c r="H75" s="57"/>
      <c r="I75" s="57"/>
      <c r="J75" s="57"/>
      <c r="K75" s="57"/>
      <c r="L75" s="57"/>
      <c r="M75" s="57"/>
      <c r="N75" s="57"/>
      <c r="O75" s="57"/>
      <c r="P75" s="57"/>
      <c r="Q75" s="57"/>
      <c r="R75" s="24"/>
      <c r="S75" s="24"/>
      <c r="T75" s="24"/>
      <c r="U75" s="24"/>
      <c r="V75" s="24"/>
      <c r="W75" s="24"/>
      <c r="X75" s="24"/>
      <c r="Y75" s="24"/>
      <c r="Z75" s="24"/>
      <c r="AA75" s="24"/>
      <c r="AB75" s="24"/>
      <c r="AC75" s="24"/>
    </row>
    <row r="76" spans="1:29">
      <c r="F76" s="58">
        <f t="shared" ref="F76:AC76" si="21">SUM(F64:F75)</f>
        <v>7100</v>
      </c>
      <c r="G76" s="58">
        <f t="shared" si="21"/>
        <v>7100</v>
      </c>
      <c r="H76" s="58">
        <f t="shared" si="21"/>
        <v>7100</v>
      </c>
      <c r="I76" s="58">
        <f t="shared" si="21"/>
        <v>7100</v>
      </c>
      <c r="J76" s="58">
        <f t="shared" si="21"/>
        <v>7100</v>
      </c>
      <c r="K76" s="58">
        <f t="shared" si="21"/>
        <v>7100</v>
      </c>
      <c r="L76" s="58">
        <f t="shared" si="21"/>
        <v>10900</v>
      </c>
      <c r="M76" s="58">
        <f t="shared" si="21"/>
        <v>11300</v>
      </c>
      <c r="N76" s="58">
        <f t="shared" si="21"/>
        <v>11300</v>
      </c>
      <c r="O76" s="58">
        <f t="shared" si="21"/>
        <v>11300</v>
      </c>
      <c r="P76" s="58">
        <f t="shared" si="21"/>
        <v>11300</v>
      </c>
      <c r="Q76" s="58">
        <f t="shared" si="21"/>
        <v>11300</v>
      </c>
      <c r="R76" s="25">
        <f t="shared" si="21"/>
        <v>13100</v>
      </c>
      <c r="S76" s="25">
        <f t="shared" si="21"/>
        <v>13100</v>
      </c>
      <c r="T76" s="25">
        <f t="shared" si="21"/>
        <v>13100</v>
      </c>
      <c r="U76" s="25">
        <f t="shared" si="21"/>
        <v>13100</v>
      </c>
      <c r="V76" s="25">
        <f t="shared" si="21"/>
        <v>13100</v>
      </c>
      <c r="W76" s="25">
        <f t="shared" si="21"/>
        <v>13100</v>
      </c>
      <c r="X76" s="25">
        <f t="shared" si="21"/>
        <v>13100</v>
      </c>
      <c r="Y76" s="25">
        <f t="shared" si="21"/>
        <v>13100</v>
      </c>
      <c r="Z76" s="25">
        <f t="shared" si="21"/>
        <v>13100</v>
      </c>
      <c r="AA76" s="25">
        <f t="shared" si="21"/>
        <v>13100</v>
      </c>
      <c r="AB76" s="25">
        <f t="shared" si="21"/>
        <v>13100</v>
      </c>
      <c r="AC76" s="25">
        <f t="shared" si="21"/>
        <v>13100</v>
      </c>
    </row>
    <row r="78" spans="1:29">
      <c r="A78" s="22" t="s">
        <v>67</v>
      </c>
      <c r="F78" s="24">
        <f>COUNT(F64:F74)+F53+F34+I15</f>
        <v>6</v>
      </c>
      <c r="G78" s="24">
        <f t="shared" ref="G78:AC78" si="22">COUNT(G64:G74)+G53+G34+J15</f>
        <v>7</v>
      </c>
      <c r="H78" s="24">
        <f t="shared" si="22"/>
        <v>8</v>
      </c>
      <c r="I78" s="24">
        <f t="shared" si="22"/>
        <v>10</v>
      </c>
      <c r="J78" s="24">
        <f t="shared" si="22"/>
        <v>12</v>
      </c>
      <c r="K78" s="24">
        <f t="shared" si="22"/>
        <v>12</v>
      </c>
      <c r="L78" s="24">
        <f t="shared" si="22"/>
        <v>16</v>
      </c>
      <c r="M78" s="24">
        <f t="shared" si="22"/>
        <v>16</v>
      </c>
      <c r="N78" s="24">
        <f t="shared" si="22"/>
        <v>17</v>
      </c>
      <c r="O78" s="24">
        <f t="shared" si="22"/>
        <v>17</v>
      </c>
      <c r="P78" s="24">
        <f t="shared" si="22"/>
        <v>19</v>
      </c>
      <c r="Q78" s="24">
        <f t="shared" si="22"/>
        <v>19</v>
      </c>
      <c r="R78" s="24">
        <f t="shared" si="22"/>
        <v>20</v>
      </c>
      <c r="S78" s="24">
        <f t="shared" si="22"/>
        <v>20</v>
      </c>
      <c r="T78" s="24">
        <f t="shared" si="22"/>
        <v>20</v>
      </c>
      <c r="U78" s="24">
        <f t="shared" si="22"/>
        <v>20</v>
      </c>
      <c r="V78" s="24">
        <f t="shared" si="22"/>
        <v>20</v>
      </c>
      <c r="W78" s="24">
        <f t="shared" si="22"/>
        <v>20</v>
      </c>
      <c r="X78" s="24">
        <f t="shared" si="22"/>
        <v>20</v>
      </c>
      <c r="Y78" s="24">
        <f t="shared" si="22"/>
        <v>20</v>
      </c>
      <c r="Z78" s="24">
        <f t="shared" si="22"/>
        <v>20</v>
      </c>
      <c r="AA78" s="24">
        <f t="shared" si="22"/>
        <v>20</v>
      </c>
      <c r="AB78" s="24">
        <f t="shared" si="22"/>
        <v>20</v>
      </c>
      <c r="AC78" s="24">
        <f t="shared" si="22"/>
        <v>20</v>
      </c>
    </row>
    <row r="84" spans="4:4">
      <c r="D84" s="82" t="s">
        <v>68</v>
      </c>
    </row>
  </sheetData>
  <sheetProtection selectLockedCells="1"/>
  <phoneticPr fontId="5" type="noConversion"/>
  <pageMargins left="0.25" right="0.25" top="0.5" bottom="0.5" header="0.5" footer="0.5"/>
  <pageSetup orientation="landscape"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B13" transitionEvaluation="1"/>
  <dimension ref="A1:CU199"/>
  <sheetViews>
    <sheetView showGridLines="0" topLeftCell="B13" zoomScaleNormal="100" workbookViewId="0">
      <selection activeCell="E14" sqref="E14"/>
    </sheetView>
  </sheetViews>
  <sheetFormatPr defaultColWidth="6.83203125" defaultRowHeight="10.15"/>
  <cols>
    <col min="1" max="2" width="2.83203125" customWidth="1"/>
    <col min="3" max="3" width="18.1640625" customWidth="1"/>
    <col min="4" max="4" width="9.1640625" customWidth="1"/>
    <col min="5" max="17" width="11" customWidth="1"/>
    <col min="18" max="18" width="7.33203125" customWidth="1"/>
    <col min="19" max="19" width="1.1640625" customWidth="1"/>
    <col min="20" max="31" width="9.33203125" customWidth="1"/>
    <col min="32" max="32" width="10" customWidth="1"/>
    <col min="33" max="33" width="6.83203125" customWidth="1"/>
    <col min="34" max="36" width="9.33203125" customWidth="1"/>
  </cols>
  <sheetData>
    <row r="1" spans="1:99" ht="15.75" customHeight="1">
      <c r="A1" s="30" t="s">
        <v>0</v>
      </c>
      <c r="S1" s="38"/>
    </row>
    <row r="2" spans="1:99">
      <c r="A2" s="4"/>
      <c r="I2" s="4"/>
      <c r="J2" s="4"/>
      <c r="K2" s="4"/>
      <c r="S2" s="38"/>
      <c r="AG2" s="7"/>
    </row>
    <row r="3" spans="1:99">
      <c r="A3" s="1" t="s">
        <v>69</v>
      </c>
      <c r="E3" s="4">
        <v>1</v>
      </c>
      <c r="F3" s="4">
        <v>2</v>
      </c>
      <c r="G3" s="4">
        <f t="shared" ref="G3:P3" si="0">F3+1</f>
        <v>3</v>
      </c>
      <c r="H3" s="4">
        <f t="shared" si="0"/>
        <v>4</v>
      </c>
      <c r="I3" s="4">
        <f t="shared" si="0"/>
        <v>5</v>
      </c>
      <c r="J3" s="4">
        <f t="shared" si="0"/>
        <v>6</v>
      </c>
      <c r="K3" s="4">
        <f t="shared" si="0"/>
        <v>7</v>
      </c>
      <c r="L3" s="4">
        <f t="shared" si="0"/>
        <v>8</v>
      </c>
      <c r="M3" s="4">
        <f t="shared" si="0"/>
        <v>9</v>
      </c>
      <c r="N3" s="4">
        <f t="shared" si="0"/>
        <v>10</v>
      </c>
      <c r="O3" s="4">
        <f t="shared" si="0"/>
        <v>11</v>
      </c>
      <c r="P3" s="4">
        <f t="shared" si="0"/>
        <v>12</v>
      </c>
      <c r="Q3" s="3" t="s">
        <v>70</v>
      </c>
      <c r="R3" s="4"/>
      <c r="S3" s="39"/>
    </row>
    <row r="4" spans="1:99">
      <c r="A4" s="8" t="s">
        <v>71</v>
      </c>
      <c r="B4" s="9"/>
      <c r="C4" s="9"/>
      <c r="D4" s="2"/>
      <c r="E4" s="10">
        <f>+Assumptions!I4</f>
        <v>38367</v>
      </c>
      <c r="F4" s="10">
        <f t="shared" ref="F4:P4" si="1">E4+30.42</f>
        <v>38397.42</v>
      </c>
      <c r="G4" s="10">
        <f t="shared" si="1"/>
        <v>38427.839999999997</v>
      </c>
      <c r="H4" s="10">
        <f t="shared" si="1"/>
        <v>38458.259999999995</v>
      </c>
      <c r="I4" s="10">
        <f t="shared" si="1"/>
        <v>38488.679999999993</v>
      </c>
      <c r="J4" s="10">
        <f t="shared" si="1"/>
        <v>38519.099999999991</v>
      </c>
      <c r="K4" s="10">
        <f t="shared" si="1"/>
        <v>38549.51999999999</v>
      </c>
      <c r="L4" s="10">
        <f t="shared" si="1"/>
        <v>38579.939999999988</v>
      </c>
      <c r="M4" s="10">
        <f t="shared" si="1"/>
        <v>38610.359999999986</v>
      </c>
      <c r="N4" s="10">
        <f t="shared" si="1"/>
        <v>38640.779999999984</v>
      </c>
      <c r="O4" s="10">
        <f t="shared" si="1"/>
        <v>38671.199999999983</v>
      </c>
      <c r="P4" s="10">
        <f t="shared" si="1"/>
        <v>38701.619999999981</v>
      </c>
      <c r="Q4" s="5" t="s">
        <v>72</v>
      </c>
      <c r="R4" s="5" t="s">
        <v>73</v>
      </c>
      <c r="S4" s="40"/>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row>
    <row r="5" spans="1:99">
      <c r="A5" s="1" t="s">
        <v>74</v>
      </c>
      <c r="D5" s="14"/>
      <c r="E5" s="14"/>
      <c r="F5" s="14"/>
      <c r="G5" s="14"/>
      <c r="H5" s="14"/>
      <c r="I5" s="14"/>
      <c r="J5" s="14"/>
      <c r="K5" s="14"/>
      <c r="L5" s="14"/>
      <c r="M5" s="14"/>
      <c r="N5" s="14"/>
      <c r="O5" s="14"/>
      <c r="P5" s="3"/>
      <c r="Q5" s="11"/>
      <c r="R5" s="14"/>
      <c r="S5" s="41"/>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row>
    <row r="6" spans="1:99" ht="12.6">
      <c r="B6" s="6" t="s">
        <v>75</v>
      </c>
      <c r="C6" s="22"/>
      <c r="E6" s="15">
        <f>+(Assumptions!F35*Assumptions!$F$27)+(Assumptions!F36*Assumptions!$F$28)+(Assumptions!F37*Assumptions!$F$29)</f>
        <v>10.01001001001001</v>
      </c>
      <c r="F6" s="15">
        <f>+(Assumptions!G35*Assumptions!$F$27)+(Assumptions!G36*Assumptions!$F$28)+(Assumptions!G37*Assumptions!$F$29)</f>
        <v>20.02002002002002</v>
      </c>
      <c r="G6" s="15">
        <f>+(Assumptions!H35*Assumptions!$F$27)+(Assumptions!H36*Assumptions!$F$28)+(Assumptions!H37*Assumptions!$F$29)</f>
        <v>30.03003003003003</v>
      </c>
      <c r="H6" s="15">
        <f>+(Assumptions!I35*Assumptions!$F$27)+(Assumptions!I36*Assumptions!$F$28)+(Assumptions!I37*Assumptions!$F$29)</f>
        <v>45.045045045045043</v>
      </c>
      <c r="I6" s="15">
        <f>+(Assumptions!J35*Assumptions!$F$27)+(Assumptions!J36*Assumptions!$F$28)+(Assumptions!J37*Assumptions!$F$29)</f>
        <v>65.065065065065056</v>
      </c>
      <c r="J6" s="15">
        <f>+(Assumptions!K35*Assumptions!$F$27)+(Assumptions!K36*Assumptions!$F$28)+(Assumptions!K37*Assumptions!$F$29)</f>
        <v>60.06006006006006</v>
      </c>
      <c r="K6" s="15">
        <f>+(Assumptions!L35*Assumptions!$F$27)+(Assumptions!L36*Assumptions!$F$28)+(Assumptions!L37*Assumptions!$F$29)</f>
        <v>75.075075075075077</v>
      </c>
      <c r="L6" s="15">
        <f>+(Assumptions!M35*Assumptions!$F$27)+(Assumptions!M36*Assumptions!$F$28)+(Assumptions!M37*Assumptions!$F$29)</f>
        <v>70.070070070070074</v>
      </c>
      <c r="M6" s="15">
        <f>+(Assumptions!N35*Assumptions!$F$27)+(Assumptions!N36*Assumptions!$F$28)+(Assumptions!N37*Assumptions!$F$29)</f>
        <v>80.08008008008008</v>
      </c>
      <c r="N6" s="15">
        <f>+(Assumptions!O35*Assumptions!$F$27)+(Assumptions!O36*Assumptions!$F$28)+(Assumptions!O37*Assumptions!$F$29)</f>
        <v>80.08008008008008</v>
      </c>
      <c r="O6" s="15">
        <f>+(Assumptions!P35*Assumptions!$F$27)+(Assumptions!P36*Assumptions!$F$28)+(Assumptions!P37*Assumptions!$F$29)</f>
        <v>90.090090090090087</v>
      </c>
      <c r="P6" s="15">
        <f>+(Assumptions!Q35*Assumptions!$F$27)+(Assumptions!Q36*Assumptions!$F$28)+(Assumptions!Q37*Assumptions!$F$29)</f>
        <v>90.090090090090087</v>
      </c>
      <c r="Q6" s="15">
        <f>SUM(E6:P6)</f>
        <v>715.71571571571576</v>
      </c>
      <c r="S6" s="38"/>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row>
    <row r="7" spans="1:99" ht="12.6">
      <c r="B7" s="6" t="s">
        <v>76</v>
      </c>
      <c r="C7" s="22"/>
      <c r="E7" s="15">
        <f>+E6</f>
        <v>10.01001001001001</v>
      </c>
      <c r="F7" s="15">
        <f>+F6+E7</f>
        <v>30.03003003003003</v>
      </c>
      <c r="G7" s="15">
        <f t="shared" ref="G7:P7" si="2">+G6+F7</f>
        <v>60.06006006006006</v>
      </c>
      <c r="H7" s="15">
        <f t="shared" si="2"/>
        <v>105.10510510510511</v>
      </c>
      <c r="I7" s="15">
        <f t="shared" si="2"/>
        <v>170.17017017017017</v>
      </c>
      <c r="J7" s="15">
        <f t="shared" si="2"/>
        <v>230.23023023023023</v>
      </c>
      <c r="K7" s="15">
        <f t="shared" si="2"/>
        <v>305.3053053053053</v>
      </c>
      <c r="L7" s="15">
        <f t="shared" si="2"/>
        <v>375.37537537537537</v>
      </c>
      <c r="M7" s="15">
        <f t="shared" si="2"/>
        <v>455.45545545545542</v>
      </c>
      <c r="N7" s="15">
        <f t="shared" si="2"/>
        <v>535.53553553553547</v>
      </c>
      <c r="O7" s="15">
        <f t="shared" si="2"/>
        <v>625.62562562562562</v>
      </c>
      <c r="P7" s="15">
        <f t="shared" si="2"/>
        <v>715.71571571571576</v>
      </c>
      <c r="Q7" s="15"/>
      <c r="S7" s="38"/>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row>
    <row r="8" spans="1:99" ht="12.6">
      <c r="B8" s="6"/>
      <c r="C8" s="22"/>
      <c r="S8" s="38"/>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row>
    <row r="9" spans="1:99">
      <c r="A9" s="1" t="s">
        <v>77</v>
      </c>
      <c r="S9" s="38"/>
    </row>
    <row r="10" spans="1:99">
      <c r="A10" s="4"/>
      <c r="B10" s="6" t="s">
        <v>78</v>
      </c>
      <c r="E10">
        <f>+E6*(Assumptions!$I$5/Assumptions!$I$7)</f>
        <v>22727.272727272728</v>
      </c>
      <c r="F10">
        <f>+F6*(Assumptions!$I$5/Assumptions!$I$7)</f>
        <v>45454.545454545456</v>
      </c>
      <c r="G10">
        <f>+G6*(Assumptions!$I$5/Assumptions!$I$7)</f>
        <v>68181.818181818177</v>
      </c>
      <c r="H10">
        <f>+H6*(Assumptions!$I$5/Assumptions!$I$7)</f>
        <v>102272.72727272726</v>
      </c>
      <c r="I10">
        <f>+I6*(Assumptions!$I$5/Assumptions!$I$7)</f>
        <v>147727.27272727271</v>
      </c>
      <c r="J10">
        <f>+J6*(Assumptions!$I$5/Assumptions!$I$7)</f>
        <v>136363.63636363635</v>
      </c>
      <c r="K10">
        <f>+K6*(Assumptions!$I$5/Assumptions!$I$7)</f>
        <v>170454.54545454547</v>
      </c>
      <c r="L10">
        <f>+L6*(Assumptions!$I$5/Assumptions!$I$7)</f>
        <v>159090.90909090909</v>
      </c>
      <c r="M10">
        <f>+M6*(Assumptions!$I$5/Assumptions!$I$7)</f>
        <v>181818.18181818182</v>
      </c>
      <c r="N10">
        <f>+N6*(Assumptions!$I$5/Assumptions!$I$7)</f>
        <v>181818.18181818182</v>
      </c>
      <c r="O10">
        <f>+O6*(Assumptions!$I$5/Assumptions!$I$7)</f>
        <v>204545.45454545453</v>
      </c>
      <c r="P10">
        <f>+P6*(Assumptions!$I$5/Assumptions!$I$7)</f>
        <v>204545.45454545453</v>
      </c>
      <c r="Q10">
        <f>SUM(E10:P10)</f>
        <v>1625000</v>
      </c>
      <c r="R10" s="16">
        <f>+Q10/$Q$16</f>
        <v>0.9824970722540467</v>
      </c>
      <c r="S10" s="42"/>
    </row>
    <row r="11" spans="1:99">
      <c r="A11" s="4"/>
      <c r="B11" s="6" t="s">
        <v>79</v>
      </c>
      <c r="E11">
        <f>+E7*Assumptions!$I$11</f>
        <v>80.08008008008008</v>
      </c>
      <c r="F11">
        <f>+F7*Assumptions!$I$11</f>
        <v>240.24024024024024</v>
      </c>
      <c r="G11">
        <f>+G7*Assumptions!$I$11</f>
        <v>480.48048048048048</v>
      </c>
      <c r="H11">
        <f>+H7*Assumptions!$I$11</f>
        <v>840.84084084084088</v>
      </c>
      <c r="I11">
        <f>+I7*Assumptions!$I$11</f>
        <v>1361.3613613613613</v>
      </c>
      <c r="J11">
        <f>+J7*Assumptions!$I$11</f>
        <v>1841.8418418418419</v>
      </c>
      <c r="K11">
        <f>+K7*Assumptions!$I$11</f>
        <v>2442.4424424424424</v>
      </c>
      <c r="L11">
        <f>+L7*Assumptions!$I$11</f>
        <v>3003.003003003003</v>
      </c>
      <c r="M11">
        <f>+M7*Assumptions!$I$11</f>
        <v>3643.6436436436434</v>
      </c>
      <c r="N11">
        <f>+N7*Assumptions!$I$11</f>
        <v>4284.2842842842838</v>
      </c>
      <c r="O11">
        <f>+O7*Assumptions!$I$11</f>
        <v>5005.0050050050049</v>
      </c>
      <c r="P11">
        <f>+P7*Assumptions!$I$11</f>
        <v>5725.7257257257261</v>
      </c>
      <c r="Q11">
        <f>SUM(E11:P11)</f>
        <v>28948.948948948946</v>
      </c>
      <c r="R11" s="16">
        <f>+Q11/$Q$16</f>
        <v>1.7502927745953356E-2</v>
      </c>
      <c r="S11" s="42"/>
    </row>
    <row r="12" spans="1:99">
      <c r="A12" s="4"/>
      <c r="B12" s="6" t="s">
        <v>80</v>
      </c>
      <c r="R12" s="16"/>
      <c r="S12" s="42"/>
    </row>
    <row r="13" spans="1:99">
      <c r="A13" s="4"/>
      <c r="B13" s="75" t="s">
        <v>81</v>
      </c>
      <c r="C13" s="37"/>
      <c r="D13" s="37"/>
      <c r="E13" s="37">
        <v>0</v>
      </c>
      <c r="F13" s="37">
        <v>0</v>
      </c>
      <c r="G13" s="37">
        <v>0</v>
      </c>
      <c r="H13" s="37">
        <v>0</v>
      </c>
      <c r="I13" s="37">
        <v>0</v>
      </c>
      <c r="J13" s="37">
        <v>0</v>
      </c>
      <c r="K13" s="37">
        <v>0</v>
      </c>
      <c r="L13" s="37">
        <v>0</v>
      </c>
      <c r="M13" s="37">
        <v>0</v>
      </c>
      <c r="N13" s="37">
        <v>0</v>
      </c>
      <c r="O13" s="37">
        <v>0</v>
      </c>
      <c r="P13" s="37">
        <v>0</v>
      </c>
      <c r="Q13">
        <f>SUM(E13:P13)</f>
        <v>0</v>
      </c>
      <c r="R13" s="16">
        <f>+Q13/$Q$16</f>
        <v>0</v>
      </c>
      <c r="S13" s="42"/>
    </row>
    <row r="14" spans="1:99">
      <c r="A14" s="4"/>
      <c r="B14" s="75" t="s">
        <v>81</v>
      </c>
      <c r="C14" s="37"/>
      <c r="D14" s="37"/>
      <c r="E14" s="37">
        <v>0</v>
      </c>
      <c r="F14" s="37">
        <v>0</v>
      </c>
      <c r="G14" s="37">
        <v>0</v>
      </c>
      <c r="H14" s="37">
        <v>0</v>
      </c>
      <c r="I14" s="37">
        <v>0</v>
      </c>
      <c r="J14" s="37">
        <v>0</v>
      </c>
      <c r="K14" s="37">
        <v>0</v>
      </c>
      <c r="L14" s="37">
        <v>0</v>
      </c>
      <c r="M14" s="37">
        <v>0</v>
      </c>
      <c r="N14" s="37">
        <v>0</v>
      </c>
      <c r="O14" s="37">
        <v>0</v>
      </c>
      <c r="P14" s="37">
        <v>0</v>
      </c>
      <c r="Q14">
        <f>SUM(E14:P14)</f>
        <v>0</v>
      </c>
      <c r="R14" s="16">
        <f>+Q14/$Q$16</f>
        <v>0</v>
      </c>
      <c r="S14" s="42"/>
    </row>
    <row r="15" spans="1:99">
      <c r="A15" s="4"/>
      <c r="B15" s="75" t="s">
        <v>81</v>
      </c>
      <c r="C15" s="37"/>
      <c r="D15" s="37"/>
      <c r="E15" s="63">
        <v>0</v>
      </c>
      <c r="F15" s="63">
        <v>0</v>
      </c>
      <c r="G15" s="63">
        <v>0</v>
      </c>
      <c r="H15" s="63">
        <v>0</v>
      </c>
      <c r="I15" s="63">
        <v>0</v>
      </c>
      <c r="J15" s="63">
        <v>0</v>
      </c>
      <c r="K15" s="63">
        <v>0</v>
      </c>
      <c r="L15" s="63">
        <v>0</v>
      </c>
      <c r="M15" s="63">
        <v>0</v>
      </c>
      <c r="N15" s="63">
        <v>0</v>
      </c>
      <c r="O15" s="63">
        <v>0</v>
      </c>
      <c r="P15" s="63">
        <v>0</v>
      </c>
      <c r="Q15" s="2">
        <f>SUM(E15:P15)</f>
        <v>0</v>
      </c>
      <c r="R15" s="17">
        <f>+Q15/$Q$16</f>
        <v>0</v>
      </c>
      <c r="S15" s="42"/>
    </row>
    <row r="16" spans="1:99">
      <c r="A16" s="4"/>
      <c r="C16" t="s">
        <v>82</v>
      </c>
      <c r="E16" s="9">
        <f>SUM(E10:E15)</f>
        <v>22807.352807352807</v>
      </c>
      <c r="F16" s="9">
        <f t="shared" ref="F16:Q16" si="3">SUM(F10:F15)</f>
        <v>45694.785694785693</v>
      </c>
      <c r="G16" s="9">
        <f t="shared" si="3"/>
        <v>68662.29866229865</v>
      </c>
      <c r="H16" s="9">
        <f t="shared" si="3"/>
        <v>103113.56811356811</v>
      </c>
      <c r="I16" s="9">
        <f t="shared" si="3"/>
        <v>149088.63408863408</v>
      </c>
      <c r="J16" s="9">
        <f t="shared" si="3"/>
        <v>138205.4782054782</v>
      </c>
      <c r="K16" s="9">
        <f t="shared" si="3"/>
        <v>172896.98789698791</v>
      </c>
      <c r="L16" s="9">
        <f t="shared" si="3"/>
        <v>162093.91209391208</v>
      </c>
      <c r="M16" s="9">
        <f t="shared" si="3"/>
        <v>185461.82546182547</v>
      </c>
      <c r="N16" s="9">
        <f t="shared" si="3"/>
        <v>186102.4661024661</v>
      </c>
      <c r="O16" s="9">
        <f t="shared" si="3"/>
        <v>209550.45955045952</v>
      </c>
      <c r="P16" s="9">
        <f t="shared" si="3"/>
        <v>210271.18027118026</v>
      </c>
      <c r="Q16" s="9">
        <f t="shared" si="3"/>
        <v>1653948.9489489489</v>
      </c>
      <c r="R16" s="17">
        <f>+Q16/$Q$16</f>
        <v>1</v>
      </c>
      <c r="S16" s="42"/>
    </row>
    <row r="17" spans="1:19">
      <c r="A17" s="4"/>
      <c r="R17" s="16"/>
      <c r="S17" s="42"/>
    </row>
    <row r="18" spans="1:19">
      <c r="A18" s="1" t="s">
        <v>83</v>
      </c>
      <c r="S18" s="38"/>
    </row>
    <row r="19" spans="1:19">
      <c r="A19" s="4"/>
      <c r="B19" s="6" t="s">
        <v>84</v>
      </c>
      <c r="E19">
        <f>+E6*Assumptions!$I$8</f>
        <v>6756.7567567567567</v>
      </c>
      <c r="F19">
        <f>+F6*Assumptions!$I$8</f>
        <v>13513.513513513513</v>
      </c>
      <c r="G19">
        <f>+G6*Assumptions!$I$8</f>
        <v>20270.27027027027</v>
      </c>
      <c r="H19">
        <f>+H6*Assumptions!$I$8</f>
        <v>30405.405405405403</v>
      </c>
      <c r="I19">
        <f>+I6*Assumptions!$I$8</f>
        <v>43918.918918918913</v>
      </c>
      <c r="J19">
        <f>+J6*Assumptions!$I$8</f>
        <v>40540.54054054054</v>
      </c>
      <c r="K19">
        <f>+K6*Assumptions!$I$8</f>
        <v>50675.67567567568</v>
      </c>
      <c r="L19">
        <f>+L6*Assumptions!$I$8</f>
        <v>47297.2972972973</v>
      </c>
      <c r="M19">
        <f>+M6*Assumptions!$I$8</f>
        <v>54054.054054054053</v>
      </c>
      <c r="N19">
        <f>+N6*Assumptions!$I$8</f>
        <v>54054.054054054053</v>
      </c>
      <c r="O19">
        <f>+O6*Assumptions!$I$8</f>
        <v>60810.810810810806</v>
      </c>
      <c r="P19">
        <f>+P6*Assumptions!$I$8</f>
        <v>60810.810810810806</v>
      </c>
      <c r="Q19">
        <f>SUM(E19:P19)</f>
        <v>483108.10810810816</v>
      </c>
      <c r="R19" s="16">
        <f>Q19/$Q$16</f>
        <v>0.29209372418363555</v>
      </c>
      <c r="S19" s="42"/>
    </row>
    <row r="20" spans="1:19">
      <c r="A20" s="4"/>
      <c r="B20" s="6" t="s">
        <v>85</v>
      </c>
      <c r="E20">
        <f>+Assumptions!$I$15*Assumptions!$I$16</f>
        <v>2500</v>
      </c>
      <c r="F20">
        <f>+Assumptions!$I$15*Assumptions!$I$16</f>
        <v>2500</v>
      </c>
      <c r="G20">
        <f>+Assumptions!$I$15*Assumptions!$I$16</f>
        <v>2500</v>
      </c>
      <c r="H20">
        <f>+Assumptions!$I$15*Assumptions!$I$16</f>
        <v>2500</v>
      </c>
      <c r="I20">
        <f>+Assumptions!$I$15*Assumptions!$I$16</f>
        <v>2500</v>
      </c>
      <c r="J20">
        <f>+Assumptions!$I$15*Assumptions!$I$16</f>
        <v>2500</v>
      </c>
      <c r="K20">
        <f>+Assumptions!$I$15*Assumptions!$I$16</f>
        <v>2500</v>
      </c>
      <c r="L20">
        <f>+Assumptions!$I$15*Assumptions!$I$16</f>
        <v>2500</v>
      </c>
      <c r="M20">
        <f>+Assumptions!$I$15*Assumptions!$I$16</f>
        <v>2500</v>
      </c>
      <c r="N20">
        <f>+Assumptions!$I$15*Assumptions!$I$16</f>
        <v>2500</v>
      </c>
      <c r="O20">
        <f>+Assumptions!$I$15*Assumptions!$I$16</f>
        <v>2500</v>
      </c>
      <c r="P20">
        <f>+Assumptions!$I$15*Assumptions!$I$16</f>
        <v>2500</v>
      </c>
      <c r="Q20">
        <f t="shared" ref="Q20:Q26" si="4">SUM(E20:P20)</f>
        <v>30000</v>
      </c>
      <c r="R20" s="16">
        <f t="shared" ref="R20:R27" si="5">Q20/$Q$16</f>
        <v>1.8138407487767017E-2</v>
      </c>
      <c r="S20" s="42"/>
    </row>
    <row r="21" spans="1:19">
      <c r="A21" s="4"/>
      <c r="B21" s="6" t="s">
        <v>86</v>
      </c>
      <c r="E21">
        <f>+Assumptions!F34*Assumptions!$I$24</f>
        <v>1000</v>
      </c>
      <c r="F21">
        <f>+Assumptions!G34*Assumptions!$I$24</f>
        <v>2000</v>
      </c>
      <c r="G21">
        <f>+Assumptions!H34*Assumptions!$I$24</f>
        <v>3000</v>
      </c>
      <c r="H21">
        <f>+Assumptions!I34*Assumptions!$I$24</f>
        <v>4000</v>
      </c>
      <c r="I21">
        <f>+Assumptions!J34*Assumptions!$I$24</f>
        <v>5000</v>
      </c>
      <c r="J21">
        <f>+Assumptions!K34*Assumptions!$I$24</f>
        <v>5000</v>
      </c>
      <c r="K21">
        <f>+Assumptions!L34*Assumptions!$I$24</f>
        <v>6000</v>
      </c>
      <c r="L21">
        <f>+Assumptions!M34*Assumptions!$I$24</f>
        <v>6000</v>
      </c>
      <c r="M21">
        <f>+Assumptions!N34*Assumptions!$I$24</f>
        <v>7000</v>
      </c>
      <c r="N21">
        <f>+Assumptions!O34*Assumptions!$I$24</f>
        <v>7000</v>
      </c>
      <c r="O21">
        <f>+Assumptions!P34*Assumptions!$I$24</f>
        <v>8000</v>
      </c>
      <c r="P21">
        <f>+Assumptions!Q34*Assumptions!$I$24</f>
        <v>8000</v>
      </c>
      <c r="Q21">
        <f t="shared" si="4"/>
        <v>62000</v>
      </c>
      <c r="R21" s="16">
        <f t="shared" si="5"/>
        <v>3.7486042141385165E-2</v>
      </c>
      <c r="S21" s="42"/>
    </row>
    <row r="22" spans="1:19">
      <c r="A22" s="4"/>
      <c r="B22" s="6" t="s">
        <v>87</v>
      </c>
      <c r="E22">
        <f>+(E6*Assumptions!$I$5*Assumptions!$I$6*Assumptions!$I$19)</f>
        <v>525</v>
      </c>
      <c r="F22">
        <f>+(F6*Assumptions!$I$5*Assumptions!$I$6*Assumptions!$I$19)</f>
        <v>1050</v>
      </c>
      <c r="G22">
        <f>+(G6*Assumptions!$I$5*Assumptions!$I$6*Assumptions!$I$19)</f>
        <v>1575.0000000000002</v>
      </c>
      <c r="H22">
        <f>+(H6*Assumptions!$I$5*Assumptions!$I$6*Assumptions!$I$19)</f>
        <v>2362.5</v>
      </c>
      <c r="I22">
        <f>+(I6*Assumptions!$I$5*Assumptions!$I$6*Assumptions!$I$19)</f>
        <v>3412.5</v>
      </c>
      <c r="J22">
        <f>+(J6*Assumptions!$I$5*Assumptions!$I$6*Assumptions!$I$19)</f>
        <v>3150.0000000000005</v>
      </c>
      <c r="K22">
        <f>+(K6*Assumptions!$I$5*Assumptions!$I$6*Assumptions!$I$19)</f>
        <v>3937.5000000000009</v>
      </c>
      <c r="L22">
        <f>+(L6*Assumptions!$I$5*Assumptions!$I$6*Assumptions!$I$19)</f>
        <v>3675.0000000000009</v>
      </c>
      <c r="M22">
        <f>+(M6*Assumptions!$I$5*Assumptions!$I$6*Assumptions!$I$19)</f>
        <v>4200</v>
      </c>
      <c r="N22">
        <f>+(N6*Assumptions!$I$5*Assumptions!$I$6*Assumptions!$I$19)</f>
        <v>4200</v>
      </c>
      <c r="O22">
        <f>+(O6*Assumptions!$I$5*Assumptions!$I$6*Assumptions!$I$19)</f>
        <v>4725</v>
      </c>
      <c r="P22">
        <f>+(P6*Assumptions!$I$5*Assumptions!$I$6*Assumptions!$I$19)</f>
        <v>4725</v>
      </c>
      <c r="Q22">
        <f t="shared" si="4"/>
        <v>37537.5</v>
      </c>
      <c r="R22" s="16">
        <f t="shared" si="5"/>
        <v>2.2695682369068479E-2</v>
      </c>
      <c r="S22" s="42"/>
    </row>
    <row r="23" spans="1:19">
      <c r="A23" s="4"/>
      <c r="B23" s="6" t="s">
        <v>88</v>
      </c>
      <c r="E23">
        <f>+E6*Assumptions!$I$5*Assumptions!$I$6*Assumptions!$I$25</f>
        <v>3000</v>
      </c>
      <c r="F23">
        <f>+F6*Assumptions!$I$5*Assumptions!$I$6*Assumptions!$I$25</f>
        <v>6000</v>
      </c>
      <c r="G23">
        <f>+G6*Assumptions!$I$5*Assumptions!$I$6*Assumptions!$I$25</f>
        <v>9000</v>
      </c>
      <c r="H23">
        <f>+H6*Assumptions!$I$5*Assumptions!$I$6*Assumptions!$I$25</f>
        <v>13500</v>
      </c>
      <c r="I23">
        <f>+I6*Assumptions!$I$5*Assumptions!$I$6*Assumptions!$I$25</f>
        <v>19499.999999999996</v>
      </c>
      <c r="J23">
        <f>+J6*Assumptions!$I$5*Assumptions!$I$6*Assumptions!$I$25</f>
        <v>18000</v>
      </c>
      <c r="K23">
        <f>+K6*Assumptions!$I$5*Assumptions!$I$6*Assumptions!$I$25</f>
        <v>22500.000000000004</v>
      </c>
      <c r="L23">
        <f>+L6*Assumptions!$I$5*Assumptions!$I$6*Assumptions!$I$25</f>
        <v>21000.000000000004</v>
      </c>
      <c r="M23">
        <f>+M6*Assumptions!$I$5*Assumptions!$I$6*Assumptions!$I$25</f>
        <v>24000</v>
      </c>
      <c r="N23">
        <f>+N6*Assumptions!$I$5*Assumptions!$I$6*Assumptions!$I$25</f>
        <v>24000</v>
      </c>
      <c r="O23">
        <f>+O6*Assumptions!$I$5*Assumptions!$I$6*Assumptions!$I$25</f>
        <v>27000</v>
      </c>
      <c r="P23">
        <f>+P6*Assumptions!$I$5*Assumptions!$I$6*Assumptions!$I$25</f>
        <v>27000</v>
      </c>
      <c r="Q23">
        <f>SUM(E23:P23)</f>
        <v>214500</v>
      </c>
      <c r="R23" s="16">
        <f t="shared" si="5"/>
        <v>0.12968961353753417</v>
      </c>
      <c r="S23" s="42"/>
    </row>
    <row r="24" spans="1:19">
      <c r="A24" s="4"/>
      <c r="B24" s="6" t="s">
        <v>89</v>
      </c>
      <c r="E24">
        <f>+(Assumptions!F35*Assumptions!$L$27)+(Assumptions!F36*Assumptions!$L$28)+(Assumptions!F37*Assumptions!$L$29)</f>
        <v>0</v>
      </c>
      <c r="F24">
        <f>+(Assumptions!G35*Assumptions!$L$27)+(Assumptions!G36*Assumptions!$L$28)+(Assumptions!G37*Assumptions!$L$29)</f>
        <v>0</v>
      </c>
      <c r="G24">
        <f>+(Assumptions!H35*Assumptions!$L$27)+(Assumptions!H36*Assumptions!$L$28)+(Assumptions!H37*Assumptions!$L$29)</f>
        <v>0</v>
      </c>
      <c r="H24">
        <f>+(Assumptions!I35*Assumptions!$L$27)+(Assumptions!I36*Assumptions!$L$28)+(Assumptions!I37*Assumptions!$L$29)</f>
        <v>750</v>
      </c>
      <c r="I24">
        <f>+(Assumptions!J35*Assumptions!$L$27)+(Assumptions!J36*Assumptions!$L$28)+(Assumptions!J37*Assumptions!$L$29)</f>
        <v>2100</v>
      </c>
      <c r="J24">
        <f>+(Assumptions!K35*Assumptions!$L$27)+(Assumptions!K36*Assumptions!$L$28)+(Assumptions!K37*Assumptions!$L$29)</f>
        <v>1500</v>
      </c>
      <c r="K24">
        <f>+(Assumptions!L35*Assumptions!$L$27)+(Assumptions!L36*Assumptions!$L$28)+(Assumptions!L37*Assumptions!$L$29)</f>
        <v>2100</v>
      </c>
      <c r="L24">
        <f>+(Assumptions!M35*Assumptions!$L$27)+(Assumptions!M36*Assumptions!$L$28)+(Assumptions!M37*Assumptions!$L$29)</f>
        <v>1500</v>
      </c>
      <c r="M24">
        <f>+(Assumptions!N35*Assumptions!$L$27)+(Assumptions!N36*Assumptions!$L$28)+(Assumptions!N37*Assumptions!$L$29)</f>
        <v>1500</v>
      </c>
      <c r="N24">
        <f>+(Assumptions!O35*Assumptions!$L$27)+(Assumptions!O36*Assumptions!$L$28)+(Assumptions!O37*Assumptions!$L$29)</f>
        <v>1500</v>
      </c>
      <c r="O24">
        <f>+(Assumptions!P35*Assumptions!$L$27)+(Assumptions!P36*Assumptions!$L$28)+(Assumptions!P37*Assumptions!$L$29)</f>
        <v>1500</v>
      </c>
      <c r="P24">
        <f>+(Assumptions!Q35*Assumptions!$L$27)+(Assumptions!Q36*Assumptions!$L$28)+(Assumptions!Q37*Assumptions!$L$29)</f>
        <v>1500</v>
      </c>
      <c r="Q24">
        <f t="shared" si="4"/>
        <v>13950</v>
      </c>
      <c r="R24" s="16">
        <f t="shared" si="5"/>
        <v>8.4343594818116624E-3</v>
      </c>
      <c r="S24" s="42"/>
    </row>
    <row r="25" spans="1:19">
      <c r="A25" s="4"/>
      <c r="B25" s="6" t="s">
        <v>90</v>
      </c>
      <c r="E25">
        <f>+Assumptions!F60</f>
        <v>2015.0000000000018</v>
      </c>
      <c r="F25">
        <f>+Assumptions!G60</f>
        <v>4030.0000000000036</v>
      </c>
      <c r="G25">
        <f>+Assumptions!H60</f>
        <v>4030.0000000000036</v>
      </c>
      <c r="H25">
        <f>+Assumptions!I60</f>
        <v>6045.0000000000036</v>
      </c>
      <c r="I25">
        <f>+Assumptions!J60</f>
        <v>8060.0000000000073</v>
      </c>
      <c r="J25">
        <f>+Assumptions!K60</f>
        <v>8060.0000000000073</v>
      </c>
      <c r="K25">
        <f>+Assumptions!L60</f>
        <v>10075.000000000007</v>
      </c>
      <c r="L25">
        <f>+Assumptions!M60</f>
        <v>10075.000000000007</v>
      </c>
      <c r="M25">
        <f>+Assumptions!N60</f>
        <v>10075.000000000007</v>
      </c>
      <c r="N25">
        <f>+Assumptions!O60</f>
        <v>10075.000000000007</v>
      </c>
      <c r="O25">
        <f>+Assumptions!P60</f>
        <v>12090.000000000007</v>
      </c>
      <c r="P25">
        <f>+Assumptions!Q60</f>
        <v>12090.000000000007</v>
      </c>
      <c r="Q25">
        <f t="shared" si="4"/>
        <v>96720.000000000058</v>
      </c>
      <c r="R25" s="16">
        <f t="shared" si="5"/>
        <v>5.8478225740560892E-2</v>
      </c>
      <c r="S25" s="42"/>
    </row>
    <row r="26" spans="1:19">
      <c r="A26" s="4"/>
      <c r="B26" s="6" t="s">
        <v>91</v>
      </c>
      <c r="D26" s="28">
        <v>0.02</v>
      </c>
      <c r="E26" s="2">
        <f>+E10*$D$26</f>
        <v>454.54545454545456</v>
      </c>
      <c r="F26" s="2">
        <f t="shared" ref="F26:P26" si="6">+F10*$D$26</f>
        <v>909.09090909090912</v>
      </c>
      <c r="G26" s="2">
        <f t="shared" si="6"/>
        <v>1363.6363636363635</v>
      </c>
      <c r="H26" s="2">
        <f t="shared" si="6"/>
        <v>2045.4545454545453</v>
      </c>
      <c r="I26" s="2">
        <f t="shared" si="6"/>
        <v>2954.545454545454</v>
      </c>
      <c r="J26" s="2">
        <f t="shared" si="6"/>
        <v>2727.272727272727</v>
      </c>
      <c r="K26" s="2">
        <f t="shared" si="6"/>
        <v>3409.0909090909095</v>
      </c>
      <c r="L26" s="2">
        <f t="shared" si="6"/>
        <v>3181.818181818182</v>
      </c>
      <c r="M26" s="2">
        <f t="shared" si="6"/>
        <v>3636.3636363636365</v>
      </c>
      <c r="N26" s="2">
        <f t="shared" si="6"/>
        <v>3636.3636363636365</v>
      </c>
      <c r="O26" s="2">
        <f t="shared" si="6"/>
        <v>4090.9090909090905</v>
      </c>
      <c r="P26" s="2">
        <f t="shared" si="6"/>
        <v>4090.9090909090905</v>
      </c>
      <c r="Q26" s="2">
        <f t="shared" si="4"/>
        <v>32500</v>
      </c>
      <c r="R26" s="17">
        <f t="shared" si="5"/>
        <v>1.9649941445080935E-2</v>
      </c>
      <c r="S26" s="42"/>
    </row>
    <row r="27" spans="1:19">
      <c r="A27" s="4"/>
      <c r="E27" s="9">
        <f>SUM(E19:E26)</f>
        <v>16251.302211302213</v>
      </c>
      <c r="F27" s="9">
        <f t="shared" ref="F27:P27" si="7">SUM(F19:F26)</f>
        <v>30002.604422604425</v>
      </c>
      <c r="G27" s="9">
        <f t="shared" si="7"/>
        <v>41738.906633906627</v>
      </c>
      <c r="H27" s="9">
        <f t="shared" si="7"/>
        <v>61608.359950859944</v>
      </c>
      <c r="I27" s="9">
        <f t="shared" si="7"/>
        <v>87445.964373464361</v>
      </c>
      <c r="J27" s="9">
        <f t="shared" si="7"/>
        <v>81477.813267813253</v>
      </c>
      <c r="K27" s="9">
        <f t="shared" si="7"/>
        <v>101197.26658476659</v>
      </c>
      <c r="L27" s="9">
        <f t="shared" si="7"/>
        <v>95229.115479115484</v>
      </c>
      <c r="M27" s="9">
        <f t="shared" si="7"/>
        <v>106965.41769041769</v>
      </c>
      <c r="N27" s="9">
        <f t="shared" si="7"/>
        <v>106965.41769041769</v>
      </c>
      <c r="O27" s="9">
        <f t="shared" si="7"/>
        <v>120716.71990171989</v>
      </c>
      <c r="P27" s="9">
        <f t="shared" si="7"/>
        <v>120716.71990171989</v>
      </c>
      <c r="Q27" s="9">
        <f>SUM(Q19:Q26)</f>
        <v>970315.60810810816</v>
      </c>
      <c r="R27" s="35">
        <f t="shared" si="5"/>
        <v>0.5866659963868438</v>
      </c>
      <c r="S27" s="42"/>
    </row>
    <row r="28" spans="1:19" ht="5.0999999999999996" customHeight="1">
      <c r="A28" s="4"/>
      <c r="S28" s="38"/>
    </row>
    <row r="29" spans="1:19">
      <c r="A29" s="1" t="s">
        <v>92</v>
      </c>
      <c r="E29" s="9">
        <f>+E16-E27</f>
        <v>6556.0505960505943</v>
      </c>
      <c r="F29" s="9">
        <f t="shared" ref="F29:P29" si="8">+F16-F27</f>
        <v>15692.181272181268</v>
      </c>
      <c r="G29" s="9">
        <f t="shared" si="8"/>
        <v>26923.392028392023</v>
      </c>
      <c r="H29" s="9">
        <f t="shared" si="8"/>
        <v>41505.208162708164</v>
      </c>
      <c r="I29" s="9">
        <f t="shared" si="8"/>
        <v>61642.669715169715</v>
      </c>
      <c r="J29" s="9">
        <f t="shared" si="8"/>
        <v>56727.664937664944</v>
      </c>
      <c r="K29" s="9">
        <f t="shared" si="8"/>
        <v>71699.721312221314</v>
      </c>
      <c r="L29" s="9">
        <f t="shared" si="8"/>
        <v>66864.796614796593</v>
      </c>
      <c r="M29" s="9">
        <f t="shared" si="8"/>
        <v>78496.407771407787</v>
      </c>
      <c r="N29" s="9">
        <f t="shared" si="8"/>
        <v>79137.048412048418</v>
      </c>
      <c r="O29" s="9">
        <f t="shared" si="8"/>
        <v>88833.739648739633</v>
      </c>
      <c r="P29" s="9">
        <f t="shared" si="8"/>
        <v>89554.460369460372</v>
      </c>
      <c r="Q29" s="9">
        <f>Q16-Q27</f>
        <v>683633.34084084071</v>
      </c>
      <c r="R29" s="18">
        <f>Q29/$Q$16</f>
        <v>0.4133340036131562</v>
      </c>
      <c r="S29" s="42"/>
    </row>
    <row r="30" spans="1:19" ht="15" customHeight="1">
      <c r="A30" s="4"/>
      <c r="E30" s="19">
        <f t="shared" ref="E30:Q30" si="9">E29/E16</f>
        <v>0.28745337748872835</v>
      </c>
      <c r="F30" s="19">
        <f t="shared" si="9"/>
        <v>0.34341295256303017</v>
      </c>
      <c r="G30" s="19">
        <f t="shared" si="9"/>
        <v>0.3921131764144567</v>
      </c>
      <c r="H30" s="19">
        <f t="shared" si="9"/>
        <v>0.40251936696628327</v>
      </c>
      <c r="I30" s="19">
        <f t="shared" si="9"/>
        <v>0.41346324011877916</v>
      </c>
      <c r="J30" s="19">
        <f t="shared" si="9"/>
        <v>0.41045887380328439</v>
      </c>
      <c r="K30" s="19">
        <f t="shared" si="9"/>
        <v>0.41469618519288515</v>
      </c>
      <c r="L30" s="19">
        <f t="shared" si="9"/>
        <v>0.41250652631578938</v>
      </c>
      <c r="M30" s="19">
        <f t="shared" si="9"/>
        <v>0.42324832927714867</v>
      </c>
      <c r="N30" s="19">
        <f t="shared" si="9"/>
        <v>0.42523374391221863</v>
      </c>
      <c r="O30" s="19">
        <f t="shared" si="9"/>
        <v>0.42392529149929431</v>
      </c>
      <c r="P30" s="19">
        <f t="shared" si="9"/>
        <v>0.42589983208333515</v>
      </c>
      <c r="Q30" s="19">
        <f t="shared" si="9"/>
        <v>0.4133340036131562</v>
      </c>
      <c r="S30" s="38"/>
    </row>
    <row r="31" spans="1:19">
      <c r="A31" s="1" t="s">
        <v>93</v>
      </c>
      <c r="S31" s="38"/>
    </row>
    <row r="32" spans="1:19">
      <c r="A32" s="4"/>
      <c r="B32" s="6" t="s">
        <v>94</v>
      </c>
      <c r="D32" s="34">
        <v>0.02</v>
      </c>
      <c r="E32" s="37">
        <f>+E16*$D$32</f>
        <v>456.14705614705616</v>
      </c>
      <c r="F32" s="37">
        <f t="shared" ref="F32:P32" si="10">+F16*$D$32</f>
        <v>913.89571389571393</v>
      </c>
      <c r="G32" s="37">
        <f t="shared" si="10"/>
        <v>1373.2459732459731</v>
      </c>
      <c r="H32" s="37">
        <f t="shared" si="10"/>
        <v>2062.2713622713622</v>
      </c>
      <c r="I32" s="37">
        <f t="shared" si="10"/>
        <v>2981.7726817726816</v>
      </c>
      <c r="J32" s="37">
        <f t="shared" si="10"/>
        <v>2764.109564109564</v>
      </c>
      <c r="K32" s="37">
        <f t="shared" si="10"/>
        <v>3457.9397579397582</v>
      </c>
      <c r="L32" s="37">
        <f t="shared" si="10"/>
        <v>3241.8782418782416</v>
      </c>
      <c r="M32" s="37">
        <f t="shared" si="10"/>
        <v>3709.2365092365094</v>
      </c>
      <c r="N32" s="37">
        <f t="shared" si="10"/>
        <v>3722.0493220493222</v>
      </c>
      <c r="O32" s="37">
        <f t="shared" si="10"/>
        <v>4191.0091910091905</v>
      </c>
      <c r="P32" s="37">
        <f t="shared" si="10"/>
        <v>4205.4236054236053</v>
      </c>
      <c r="Q32">
        <f>SUM(E32:P32)</f>
        <v>33078.978978978979</v>
      </c>
      <c r="R32" s="16">
        <f>Q32/$Q$16</f>
        <v>0.02</v>
      </c>
      <c r="S32" s="42"/>
    </row>
    <row r="33" spans="1:19">
      <c r="A33" s="4"/>
      <c r="B33" s="6" t="s">
        <v>95</v>
      </c>
      <c r="E33" s="37">
        <v>1800</v>
      </c>
      <c r="F33" s="37">
        <v>1800</v>
      </c>
      <c r="G33" s="37">
        <v>1800</v>
      </c>
      <c r="H33" s="37">
        <v>1800</v>
      </c>
      <c r="I33" s="37">
        <v>1800</v>
      </c>
      <c r="J33" s="37">
        <v>1800</v>
      </c>
      <c r="K33" s="37">
        <v>1800</v>
      </c>
      <c r="L33" s="37">
        <v>1800</v>
      </c>
      <c r="M33" s="37">
        <v>1800</v>
      </c>
      <c r="N33" s="37">
        <v>2700</v>
      </c>
      <c r="O33" s="37">
        <v>2700</v>
      </c>
      <c r="P33" s="37">
        <v>2700</v>
      </c>
      <c r="Q33">
        <f t="shared" ref="Q33:Q47" si="11">SUM(E33:P33)</f>
        <v>24300</v>
      </c>
      <c r="R33" s="16">
        <f t="shared" ref="R33:R47" si="12">Q33/$Q$16</f>
        <v>1.4692110065091283E-2</v>
      </c>
      <c r="S33" s="42"/>
    </row>
    <row r="34" spans="1:19">
      <c r="A34" s="4"/>
      <c r="B34" s="6" t="s">
        <v>96</v>
      </c>
      <c r="E34" s="37">
        <v>150</v>
      </c>
      <c r="F34" s="37">
        <v>150</v>
      </c>
      <c r="G34" s="37">
        <v>150</v>
      </c>
      <c r="H34" s="37">
        <v>150</v>
      </c>
      <c r="I34" s="37">
        <v>150</v>
      </c>
      <c r="J34" s="37">
        <v>150</v>
      </c>
      <c r="K34" s="37">
        <v>150</v>
      </c>
      <c r="L34" s="37">
        <v>150</v>
      </c>
      <c r="M34" s="37">
        <v>150</v>
      </c>
      <c r="N34" s="37">
        <v>150</v>
      </c>
      <c r="O34" s="37">
        <v>150</v>
      </c>
      <c r="P34" s="37">
        <v>150</v>
      </c>
      <c r="Q34">
        <f t="shared" si="11"/>
        <v>1800</v>
      </c>
      <c r="R34" s="16">
        <f t="shared" si="12"/>
        <v>1.0883044492660209E-3</v>
      </c>
      <c r="S34" s="42"/>
    </row>
    <row r="35" spans="1:19">
      <c r="A35" s="4"/>
      <c r="B35" s="6" t="s">
        <v>97</v>
      </c>
      <c r="E35">
        <f>+Assumptions!F78*Assumptions!$I$12</f>
        <v>900</v>
      </c>
      <c r="F35">
        <f>+Assumptions!G78*Assumptions!$I$12</f>
        <v>1050</v>
      </c>
      <c r="G35">
        <f>+Assumptions!H78*Assumptions!$I$12</f>
        <v>1200</v>
      </c>
      <c r="H35">
        <f>+Assumptions!I78*Assumptions!$I$12</f>
        <v>1500</v>
      </c>
      <c r="I35">
        <f>+Assumptions!J78*Assumptions!$I$12</f>
        <v>1800</v>
      </c>
      <c r="J35">
        <f>+Assumptions!K78*Assumptions!$I$12</f>
        <v>1800</v>
      </c>
      <c r="K35">
        <f>+Assumptions!L78*Assumptions!$I$12</f>
        <v>2400</v>
      </c>
      <c r="L35">
        <f>+Assumptions!M78*Assumptions!$I$12</f>
        <v>2400</v>
      </c>
      <c r="M35">
        <f>+Assumptions!N78*Assumptions!$I$12</f>
        <v>2550</v>
      </c>
      <c r="N35">
        <f>+Assumptions!O78*Assumptions!$I$12</f>
        <v>2550</v>
      </c>
      <c r="O35">
        <f>+Assumptions!P78*Assumptions!$I$12</f>
        <v>2850</v>
      </c>
      <c r="P35">
        <f>+Assumptions!Q78*Assumptions!$I$12</f>
        <v>2850</v>
      </c>
      <c r="Q35">
        <f t="shared" si="11"/>
        <v>23850</v>
      </c>
      <c r="R35" s="16">
        <f t="shared" si="12"/>
        <v>1.4420033952774778E-2</v>
      </c>
      <c r="S35" s="42"/>
    </row>
    <row r="36" spans="1:19">
      <c r="A36" s="4"/>
      <c r="B36" s="6" t="s">
        <v>98</v>
      </c>
      <c r="E36" s="37">
        <v>600</v>
      </c>
      <c r="F36" s="37">
        <v>600</v>
      </c>
      <c r="G36" s="37">
        <v>600</v>
      </c>
      <c r="H36" s="37">
        <v>600</v>
      </c>
      <c r="I36" s="37">
        <v>600</v>
      </c>
      <c r="J36" s="37">
        <v>600</v>
      </c>
      <c r="K36" s="37">
        <v>600</v>
      </c>
      <c r="L36" s="37">
        <v>600</v>
      </c>
      <c r="M36" s="37">
        <v>600</v>
      </c>
      <c r="N36" s="37">
        <v>600</v>
      </c>
      <c r="O36" s="37">
        <v>600</v>
      </c>
      <c r="P36" s="37">
        <v>600</v>
      </c>
      <c r="Q36">
        <f t="shared" si="11"/>
        <v>7200</v>
      </c>
      <c r="R36" s="16">
        <f t="shared" si="12"/>
        <v>4.3532177970640835E-3</v>
      </c>
      <c r="S36" s="42"/>
    </row>
    <row r="37" spans="1:19">
      <c r="A37" s="4"/>
      <c r="B37" s="6" t="s">
        <v>99</v>
      </c>
      <c r="E37" s="37">
        <v>100</v>
      </c>
      <c r="F37" s="37">
        <v>100</v>
      </c>
      <c r="G37" s="37">
        <v>100</v>
      </c>
      <c r="H37" s="37">
        <v>100</v>
      </c>
      <c r="I37" s="37">
        <v>100</v>
      </c>
      <c r="J37" s="37">
        <v>100</v>
      </c>
      <c r="K37" s="37">
        <v>100</v>
      </c>
      <c r="L37" s="37">
        <v>100</v>
      </c>
      <c r="M37" s="37">
        <v>100</v>
      </c>
      <c r="N37" s="37">
        <v>100</v>
      </c>
      <c r="O37" s="37">
        <v>100</v>
      </c>
      <c r="P37" s="37">
        <v>100</v>
      </c>
      <c r="Q37">
        <f t="shared" si="11"/>
        <v>1200</v>
      </c>
      <c r="R37" s="16">
        <f t="shared" si="12"/>
        <v>7.2553629951068062E-4</v>
      </c>
      <c r="S37" s="42"/>
    </row>
    <row r="38" spans="1:19">
      <c r="A38" s="4"/>
      <c r="B38" s="6" t="s">
        <v>100</v>
      </c>
      <c r="E38" s="37">
        <v>250</v>
      </c>
      <c r="F38" s="37">
        <v>250</v>
      </c>
      <c r="G38" s="37">
        <v>250</v>
      </c>
      <c r="H38" s="37">
        <v>250</v>
      </c>
      <c r="I38" s="37">
        <v>250</v>
      </c>
      <c r="J38" s="37">
        <v>250</v>
      </c>
      <c r="K38" s="37">
        <v>250</v>
      </c>
      <c r="L38" s="37">
        <v>250</v>
      </c>
      <c r="M38" s="37">
        <v>250</v>
      </c>
      <c r="N38" s="37">
        <v>250</v>
      </c>
      <c r="O38" s="37">
        <v>250</v>
      </c>
      <c r="P38" s="37">
        <v>250</v>
      </c>
      <c r="Q38">
        <f t="shared" si="11"/>
        <v>3000</v>
      </c>
      <c r="R38" s="16">
        <f t="shared" si="12"/>
        <v>1.8138407487767016E-3</v>
      </c>
      <c r="S38" s="42"/>
    </row>
    <row r="39" spans="1:19">
      <c r="A39" s="4"/>
      <c r="B39" s="6" t="s">
        <v>101</v>
      </c>
      <c r="E39" s="37">
        <v>400</v>
      </c>
      <c r="F39" s="37">
        <v>400</v>
      </c>
      <c r="G39" s="37">
        <v>400</v>
      </c>
      <c r="H39" s="37">
        <v>400</v>
      </c>
      <c r="I39" s="37">
        <v>400</v>
      </c>
      <c r="J39" s="37">
        <v>400</v>
      </c>
      <c r="K39" s="37">
        <v>400</v>
      </c>
      <c r="L39" s="37">
        <v>400</v>
      </c>
      <c r="M39" s="37">
        <v>400</v>
      </c>
      <c r="N39" s="37">
        <v>400</v>
      </c>
      <c r="O39" s="37">
        <v>400</v>
      </c>
      <c r="P39" s="37">
        <v>400</v>
      </c>
      <c r="Q39">
        <f t="shared" si="11"/>
        <v>4800</v>
      </c>
      <c r="R39" s="16">
        <f t="shared" si="12"/>
        <v>2.9021451980427225E-3</v>
      </c>
      <c r="S39" s="42"/>
    </row>
    <row r="40" spans="1:19">
      <c r="A40" s="4"/>
      <c r="B40" s="6" t="s">
        <v>102</v>
      </c>
      <c r="D40" s="34">
        <v>0.12</v>
      </c>
      <c r="E40">
        <f>+(E20+E21+E22+E23+E24+E25+E44)*$D$40</f>
        <v>1936.8000000000002</v>
      </c>
      <c r="F40">
        <f t="shared" ref="F40:P40" si="13">+(F20+F21+F22+F23+F24+F25+F44)*$D$40</f>
        <v>2721.6000000000004</v>
      </c>
      <c r="G40">
        <f t="shared" si="13"/>
        <v>3264.6000000000004</v>
      </c>
      <c r="H40">
        <f t="shared" si="13"/>
        <v>4350.8999999999996</v>
      </c>
      <c r="I40">
        <f t="shared" si="13"/>
        <v>5720.7</v>
      </c>
      <c r="J40">
        <f t="shared" si="13"/>
        <v>5437.2000000000007</v>
      </c>
      <c r="K40">
        <f t="shared" si="13"/>
        <v>6961.5000000000009</v>
      </c>
      <c r="L40">
        <f t="shared" si="13"/>
        <v>6726.0000000000009</v>
      </c>
      <c r="M40">
        <f t="shared" si="13"/>
        <v>7269.0000000000009</v>
      </c>
      <c r="N40">
        <f t="shared" si="13"/>
        <v>7269.0000000000009</v>
      </c>
      <c r="O40">
        <f t="shared" si="13"/>
        <v>8053.7999999999993</v>
      </c>
      <c r="P40">
        <f t="shared" si="13"/>
        <v>8053.7999999999993</v>
      </c>
      <c r="Q40">
        <f t="shared" si="11"/>
        <v>67764.900000000009</v>
      </c>
      <c r="R40" s="16">
        <f t="shared" si="12"/>
        <v>4.0971578985592776E-2</v>
      </c>
      <c r="S40" s="42"/>
    </row>
    <row r="41" spans="1:19">
      <c r="A41" s="4"/>
      <c r="B41" s="6" t="s">
        <v>103</v>
      </c>
      <c r="D41" s="34"/>
      <c r="E41" s="37">
        <v>150</v>
      </c>
      <c r="F41" s="37">
        <v>150</v>
      </c>
      <c r="G41" s="37">
        <v>150</v>
      </c>
      <c r="H41" s="37">
        <v>150</v>
      </c>
      <c r="I41" s="37">
        <v>150</v>
      </c>
      <c r="J41" s="37">
        <v>150</v>
      </c>
      <c r="K41" s="37">
        <v>150</v>
      </c>
      <c r="L41" s="37">
        <v>150</v>
      </c>
      <c r="M41" s="37">
        <v>150</v>
      </c>
      <c r="N41" s="37">
        <v>150</v>
      </c>
      <c r="O41" s="37">
        <v>150</v>
      </c>
      <c r="P41" s="37">
        <v>150</v>
      </c>
      <c r="Q41">
        <f t="shared" si="11"/>
        <v>1800</v>
      </c>
      <c r="R41" s="16">
        <f t="shared" si="12"/>
        <v>1.0883044492660209E-3</v>
      </c>
      <c r="S41" s="42"/>
    </row>
    <row r="42" spans="1:19">
      <c r="A42" s="4"/>
      <c r="B42" s="6" t="s">
        <v>104</v>
      </c>
      <c r="E42" s="37">
        <v>2500</v>
      </c>
      <c r="F42" s="37">
        <v>2500</v>
      </c>
      <c r="G42" s="37">
        <v>2500</v>
      </c>
      <c r="H42" s="37">
        <v>2500</v>
      </c>
      <c r="I42" s="37">
        <v>2500</v>
      </c>
      <c r="J42" s="37">
        <v>2500</v>
      </c>
      <c r="K42" s="37">
        <v>2500</v>
      </c>
      <c r="L42" s="37">
        <v>2500</v>
      </c>
      <c r="M42" s="37">
        <v>2500</v>
      </c>
      <c r="N42" s="37">
        <v>2500</v>
      </c>
      <c r="O42" s="37">
        <v>2500</v>
      </c>
      <c r="P42" s="37">
        <v>2500</v>
      </c>
      <c r="Q42">
        <f t="shared" si="11"/>
        <v>30000</v>
      </c>
      <c r="R42" s="16">
        <f t="shared" si="12"/>
        <v>1.8138407487767017E-2</v>
      </c>
      <c r="S42" s="42"/>
    </row>
    <row r="43" spans="1:19">
      <c r="A43" s="4"/>
      <c r="B43" s="6" t="s">
        <v>105</v>
      </c>
      <c r="E43" s="37">
        <v>250</v>
      </c>
      <c r="F43" s="37">
        <v>250</v>
      </c>
      <c r="G43" s="37">
        <v>250</v>
      </c>
      <c r="H43" s="37">
        <v>250</v>
      </c>
      <c r="I43" s="37">
        <v>250</v>
      </c>
      <c r="J43" s="37">
        <v>250</v>
      </c>
      <c r="K43" s="37">
        <v>250</v>
      </c>
      <c r="L43" s="37">
        <v>250</v>
      </c>
      <c r="M43" s="37">
        <v>250</v>
      </c>
      <c r="N43" s="37">
        <v>250</v>
      </c>
      <c r="O43" s="37">
        <v>250</v>
      </c>
      <c r="P43" s="37">
        <v>250</v>
      </c>
      <c r="Q43">
        <f t="shared" si="11"/>
        <v>3000</v>
      </c>
      <c r="R43" s="16">
        <f t="shared" si="12"/>
        <v>1.8138407487767016E-3</v>
      </c>
      <c r="S43" s="42"/>
    </row>
    <row r="44" spans="1:19">
      <c r="A44" s="4"/>
      <c r="B44" s="6" t="s">
        <v>106</v>
      </c>
      <c r="E44">
        <f>+Assumptions!F76</f>
        <v>7100</v>
      </c>
      <c r="F44">
        <f>+Assumptions!G76</f>
        <v>7100</v>
      </c>
      <c r="G44">
        <f>+Assumptions!H76</f>
        <v>7100</v>
      </c>
      <c r="H44">
        <f>+Assumptions!I76</f>
        <v>7100</v>
      </c>
      <c r="I44">
        <f>+Assumptions!J76</f>
        <v>7100</v>
      </c>
      <c r="J44">
        <f>+Assumptions!K76</f>
        <v>7100</v>
      </c>
      <c r="K44">
        <f>+Assumptions!L76</f>
        <v>10900</v>
      </c>
      <c r="L44">
        <f>+Assumptions!M76</f>
        <v>11300</v>
      </c>
      <c r="M44">
        <f>+Assumptions!N76</f>
        <v>11300</v>
      </c>
      <c r="N44">
        <f>+Assumptions!O76</f>
        <v>11300</v>
      </c>
      <c r="O44">
        <f>+Assumptions!P76</f>
        <v>11300</v>
      </c>
      <c r="P44">
        <f>+Assumptions!Q76</f>
        <v>11300</v>
      </c>
      <c r="Q44">
        <f t="shared" si="11"/>
        <v>110000</v>
      </c>
      <c r="R44" s="16">
        <f t="shared" si="12"/>
        <v>6.6507494121812394E-2</v>
      </c>
      <c r="S44" s="42"/>
    </row>
    <row r="45" spans="1:19">
      <c r="A45" s="4"/>
      <c r="B45" s="6" t="s">
        <v>107</v>
      </c>
      <c r="E45" s="37">
        <v>1750</v>
      </c>
      <c r="F45" s="37">
        <v>1750</v>
      </c>
      <c r="G45" s="37">
        <v>1750</v>
      </c>
      <c r="H45" s="37">
        <v>1750</v>
      </c>
      <c r="I45" s="37">
        <v>1750</v>
      </c>
      <c r="J45" s="37">
        <v>1750</v>
      </c>
      <c r="K45" s="37">
        <v>1750</v>
      </c>
      <c r="L45" s="37">
        <v>1750</v>
      </c>
      <c r="M45" s="37">
        <v>1750</v>
      </c>
      <c r="N45" s="37">
        <v>1750</v>
      </c>
      <c r="O45" s="37">
        <v>1750</v>
      </c>
      <c r="P45" s="37">
        <v>1750</v>
      </c>
      <c r="Q45">
        <f t="shared" si="11"/>
        <v>21000</v>
      </c>
      <c r="R45" s="16">
        <f t="shared" si="12"/>
        <v>1.2696885241436912E-2</v>
      </c>
      <c r="S45" s="42"/>
    </row>
    <row r="46" spans="1:19">
      <c r="A46" s="4"/>
      <c r="B46" s="6" t="s">
        <v>108</v>
      </c>
      <c r="E46" s="37">
        <v>600</v>
      </c>
      <c r="F46" s="37">
        <v>600</v>
      </c>
      <c r="G46" s="37">
        <v>600</v>
      </c>
      <c r="H46" s="37">
        <v>600</v>
      </c>
      <c r="I46" s="37">
        <v>600</v>
      </c>
      <c r="J46" s="37">
        <v>600</v>
      </c>
      <c r="K46" s="37">
        <v>600</v>
      </c>
      <c r="L46" s="37">
        <v>600</v>
      </c>
      <c r="M46" s="37">
        <v>600</v>
      </c>
      <c r="N46" s="37">
        <v>600</v>
      </c>
      <c r="O46" s="37">
        <v>600</v>
      </c>
      <c r="P46" s="37">
        <v>600</v>
      </c>
      <c r="Q46">
        <f t="shared" si="11"/>
        <v>7200</v>
      </c>
      <c r="R46" s="16">
        <f t="shared" si="12"/>
        <v>4.3532177970640835E-3</v>
      </c>
      <c r="S46" s="42"/>
    </row>
    <row r="47" spans="1:19">
      <c r="A47" s="4"/>
      <c r="B47" s="6" t="s">
        <v>109</v>
      </c>
      <c r="E47" s="37">
        <v>225</v>
      </c>
      <c r="F47" s="37">
        <v>225</v>
      </c>
      <c r="G47" s="37">
        <v>225</v>
      </c>
      <c r="H47" s="37">
        <v>225</v>
      </c>
      <c r="I47" s="37">
        <v>225</v>
      </c>
      <c r="J47" s="37">
        <v>225</v>
      </c>
      <c r="K47" s="37">
        <v>225</v>
      </c>
      <c r="L47" s="37">
        <v>225</v>
      </c>
      <c r="M47" s="37">
        <v>225</v>
      </c>
      <c r="N47" s="37">
        <v>225</v>
      </c>
      <c r="O47" s="37">
        <v>225</v>
      </c>
      <c r="P47" s="37">
        <v>225</v>
      </c>
      <c r="Q47">
        <f t="shared" si="11"/>
        <v>2700</v>
      </c>
      <c r="R47" s="16">
        <f t="shared" si="12"/>
        <v>1.6324566738990314E-3</v>
      </c>
      <c r="S47" s="42"/>
    </row>
    <row r="48" spans="1:19" ht="5.0999999999999996" customHeight="1">
      <c r="A48" s="4"/>
      <c r="E48" s="9"/>
      <c r="F48" s="9"/>
      <c r="G48" s="9"/>
      <c r="H48" s="9"/>
      <c r="I48" s="9"/>
      <c r="J48" s="9"/>
      <c r="K48" s="9"/>
      <c r="L48" s="9"/>
      <c r="M48" s="9"/>
      <c r="N48" s="9"/>
      <c r="O48" s="9"/>
      <c r="P48" s="9"/>
      <c r="Q48" s="9"/>
      <c r="R48" s="9"/>
      <c r="S48" s="38"/>
    </row>
    <row r="49" spans="1:19">
      <c r="A49" s="4"/>
      <c r="C49" s="6" t="s">
        <v>110</v>
      </c>
      <c r="E49" s="9">
        <f t="shared" ref="E49:Q49" si="14">SUM(E32:E48)</f>
        <v>19167.947056147055</v>
      </c>
      <c r="F49" s="9">
        <f t="shared" si="14"/>
        <v>20560.495713895714</v>
      </c>
      <c r="G49" s="9">
        <f t="shared" si="14"/>
        <v>21712.845973245974</v>
      </c>
      <c r="H49" s="9">
        <f t="shared" si="14"/>
        <v>23788.171362271361</v>
      </c>
      <c r="I49" s="9">
        <f t="shared" si="14"/>
        <v>26377.472681772681</v>
      </c>
      <c r="J49" s="9">
        <f t="shared" si="14"/>
        <v>25876.309564109564</v>
      </c>
      <c r="K49" s="9">
        <f t="shared" si="14"/>
        <v>32494.439757939759</v>
      </c>
      <c r="L49" s="9">
        <f t="shared" si="14"/>
        <v>32442.878241878243</v>
      </c>
      <c r="M49" s="9">
        <f t="shared" si="14"/>
        <v>33603.236509236507</v>
      </c>
      <c r="N49" s="9">
        <f t="shared" si="14"/>
        <v>34516.049322049323</v>
      </c>
      <c r="O49" s="9">
        <f t="shared" si="14"/>
        <v>36069.80919100919</v>
      </c>
      <c r="P49" s="9">
        <f t="shared" si="14"/>
        <v>36084.223605423605</v>
      </c>
      <c r="Q49" s="9">
        <f t="shared" si="14"/>
        <v>342693.87897897896</v>
      </c>
      <c r="R49" s="18">
        <f>Q49/$Q$16</f>
        <v>0.20719737401614119</v>
      </c>
      <c r="S49" s="42"/>
    </row>
    <row r="50" spans="1:19" ht="5.0999999999999996" customHeight="1">
      <c r="A50" s="4"/>
      <c r="S50" s="38"/>
    </row>
    <row r="51" spans="1:19">
      <c r="A51" s="1" t="s">
        <v>111</v>
      </c>
      <c r="E51" s="9">
        <f t="shared" ref="E51:Q51" si="15">E29-E49</f>
        <v>-12611.896460096461</v>
      </c>
      <c r="F51" s="9">
        <f t="shared" si="15"/>
        <v>-4868.3144417144467</v>
      </c>
      <c r="G51" s="9">
        <f t="shared" si="15"/>
        <v>5210.5460551460492</v>
      </c>
      <c r="H51" s="9">
        <f t="shared" si="15"/>
        <v>17717.036800436803</v>
      </c>
      <c r="I51" s="9">
        <f t="shared" si="15"/>
        <v>35265.197033397038</v>
      </c>
      <c r="J51" s="9">
        <f t="shared" si="15"/>
        <v>30851.35537355538</v>
      </c>
      <c r="K51" s="9">
        <f t="shared" si="15"/>
        <v>39205.281554281552</v>
      </c>
      <c r="L51" s="9">
        <f t="shared" si="15"/>
        <v>34421.91837291835</v>
      </c>
      <c r="M51" s="9">
        <f t="shared" si="15"/>
        <v>44893.17126217128</v>
      </c>
      <c r="N51" s="9">
        <f t="shared" si="15"/>
        <v>44620.999089999095</v>
      </c>
      <c r="O51" s="9">
        <f t="shared" si="15"/>
        <v>52763.930457730443</v>
      </c>
      <c r="P51" s="9">
        <f t="shared" si="15"/>
        <v>53470.236764036767</v>
      </c>
      <c r="Q51" s="9">
        <f t="shared" si="15"/>
        <v>340939.46186186175</v>
      </c>
      <c r="R51" s="18">
        <f>Q51/$Q$16</f>
        <v>0.20613662959701501</v>
      </c>
      <c r="S51" s="42"/>
    </row>
    <row r="52" spans="1:19" ht="5.0999999999999996" customHeight="1">
      <c r="A52" s="4"/>
      <c r="S52" s="38"/>
    </row>
    <row r="53" spans="1:19" ht="10.9" thickBot="1">
      <c r="A53" s="1" t="s">
        <v>112</v>
      </c>
      <c r="E53" s="20">
        <f>+E51</f>
        <v>-12611.896460096461</v>
      </c>
      <c r="F53" s="20">
        <f>+E53+F51</f>
        <v>-17480.210901810908</v>
      </c>
      <c r="G53" s="20">
        <f t="shared" ref="G53:P53" si="16">+F53+G51</f>
        <v>-12269.664846664858</v>
      </c>
      <c r="H53" s="20">
        <f t="shared" si="16"/>
        <v>5447.3719537719444</v>
      </c>
      <c r="I53" s="20">
        <f t="shared" si="16"/>
        <v>40712.568987168983</v>
      </c>
      <c r="J53" s="20">
        <f t="shared" si="16"/>
        <v>71563.92436072437</v>
      </c>
      <c r="K53" s="20">
        <f t="shared" si="16"/>
        <v>110769.20591500592</v>
      </c>
      <c r="L53" s="20">
        <f t="shared" si="16"/>
        <v>145191.12428792426</v>
      </c>
      <c r="M53" s="20">
        <f t="shared" si="16"/>
        <v>190084.29555009556</v>
      </c>
      <c r="N53" s="20">
        <f t="shared" si="16"/>
        <v>234705.29464009465</v>
      </c>
      <c r="O53" s="20">
        <f t="shared" si="16"/>
        <v>287469.22509782511</v>
      </c>
      <c r="P53" s="20">
        <f t="shared" si="16"/>
        <v>340939.46186186187</v>
      </c>
      <c r="S53" s="38"/>
    </row>
    <row r="54" spans="1:19" ht="5.0999999999999996" customHeight="1" thickTop="1">
      <c r="S54" s="38"/>
    </row>
    <row r="55" spans="1:19">
      <c r="S55" s="38"/>
    </row>
    <row r="57" spans="1:19">
      <c r="E57" s="4">
        <f>+P3+1</f>
        <v>13</v>
      </c>
      <c r="F57" s="4">
        <f>+E57+1</f>
        <v>14</v>
      </c>
      <c r="G57" s="4">
        <f t="shared" ref="G57:P57" si="17">+F57+1</f>
        <v>15</v>
      </c>
      <c r="H57" s="4">
        <f t="shared" si="17"/>
        <v>16</v>
      </c>
      <c r="I57" s="4">
        <f t="shared" si="17"/>
        <v>17</v>
      </c>
      <c r="J57" s="4">
        <f t="shared" si="17"/>
        <v>18</v>
      </c>
      <c r="K57" s="4">
        <f t="shared" si="17"/>
        <v>19</v>
      </c>
      <c r="L57" s="4">
        <f t="shared" si="17"/>
        <v>20</v>
      </c>
      <c r="M57" s="4">
        <f t="shared" si="17"/>
        <v>21</v>
      </c>
      <c r="N57" s="4">
        <f t="shared" si="17"/>
        <v>22</v>
      </c>
      <c r="O57" s="4">
        <f t="shared" si="17"/>
        <v>23</v>
      </c>
      <c r="P57" s="4">
        <f t="shared" si="17"/>
        <v>24</v>
      </c>
      <c r="Q57" s="3" t="s">
        <v>70</v>
      </c>
      <c r="R57" s="3" t="s">
        <v>73</v>
      </c>
    </row>
    <row r="58" spans="1:19">
      <c r="E58" s="11">
        <f>+P4+30.42</f>
        <v>38732.039999999979</v>
      </c>
      <c r="F58" s="11">
        <f>+E58+30.42</f>
        <v>38762.459999999977</v>
      </c>
      <c r="G58" s="11">
        <f t="shared" ref="G58:P58" si="18">+F58+30.42</f>
        <v>38792.879999999976</v>
      </c>
      <c r="H58" s="11">
        <f t="shared" si="18"/>
        <v>38823.299999999974</v>
      </c>
      <c r="I58" s="11">
        <f t="shared" si="18"/>
        <v>38853.719999999972</v>
      </c>
      <c r="J58" s="11">
        <f t="shared" si="18"/>
        <v>38884.13999999997</v>
      </c>
      <c r="K58" s="11">
        <f t="shared" si="18"/>
        <v>38914.559999999969</v>
      </c>
      <c r="L58" s="11">
        <f t="shared" si="18"/>
        <v>38944.979999999967</v>
      </c>
      <c r="M58" s="11">
        <f t="shared" si="18"/>
        <v>38975.399999999965</v>
      </c>
      <c r="N58" s="11">
        <f t="shared" si="18"/>
        <v>39005.819999999963</v>
      </c>
      <c r="O58" s="11">
        <f t="shared" si="18"/>
        <v>39036.239999999962</v>
      </c>
      <c r="P58" s="11">
        <f t="shared" si="18"/>
        <v>39066.65999999996</v>
      </c>
      <c r="Q58" s="12" t="s">
        <v>72</v>
      </c>
      <c r="R58" s="11"/>
    </row>
    <row r="59" spans="1:19">
      <c r="A59" s="1" t="s">
        <v>74</v>
      </c>
      <c r="D59" s="14"/>
      <c r="E59" s="11"/>
      <c r="F59" s="11"/>
      <c r="G59" s="11"/>
      <c r="H59" s="11"/>
      <c r="I59" s="11"/>
      <c r="J59" s="11"/>
      <c r="K59" s="11"/>
      <c r="L59" s="11"/>
      <c r="M59" s="11"/>
      <c r="N59" s="11"/>
      <c r="O59" s="12"/>
      <c r="P59" s="14"/>
      <c r="Q59" s="3"/>
      <c r="R59" s="14"/>
    </row>
    <row r="60" spans="1:19" ht="12.6">
      <c r="B60" s="6" t="s">
        <v>75</v>
      </c>
      <c r="C60" s="22"/>
      <c r="E60" s="15">
        <f>+(Assumptions!R35*Assumptions!$F$27)+(Assumptions!R36*Assumptions!$F$28)+(Assumptions!R37*Assumptions!$F$29)</f>
        <v>90.090090090090087</v>
      </c>
      <c r="F60" s="15">
        <f>+(Assumptions!S35*Assumptions!$F$27)+(Assumptions!S36*Assumptions!$F$28)+(Assumptions!S37*Assumptions!$F$29)</f>
        <v>100.10010010010009</v>
      </c>
      <c r="G60" s="15">
        <f>+(Assumptions!T35*Assumptions!$F$27)+(Assumptions!T36*Assumptions!$F$28)+(Assumptions!T37*Assumptions!$F$29)</f>
        <v>90.090090090090087</v>
      </c>
      <c r="H60" s="15">
        <f>+(Assumptions!U35*Assumptions!$F$27)+(Assumptions!U36*Assumptions!$F$28)+(Assumptions!U37*Assumptions!$F$29)</f>
        <v>90.090090090090087</v>
      </c>
      <c r="I60" s="15">
        <f>+(Assumptions!V35*Assumptions!$F$27)+(Assumptions!V36*Assumptions!$F$28)+(Assumptions!V37*Assumptions!$F$29)</f>
        <v>100.10010010010009</v>
      </c>
      <c r="J60" s="15">
        <f>+(Assumptions!W35*Assumptions!$F$27)+(Assumptions!W36*Assumptions!$F$28)+(Assumptions!W37*Assumptions!$F$29)</f>
        <v>90.090090090090087</v>
      </c>
      <c r="K60" s="15">
        <f>+(Assumptions!X35*Assumptions!$F$27)+(Assumptions!X36*Assumptions!$F$28)+(Assumptions!X37*Assumptions!$F$29)</f>
        <v>90.090090090090087</v>
      </c>
      <c r="L60" s="15">
        <f>+(Assumptions!Y35*Assumptions!$F$27)+(Assumptions!Y36*Assumptions!$F$28)+(Assumptions!Y37*Assumptions!$F$29)</f>
        <v>100.10010010010009</v>
      </c>
      <c r="M60" s="15">
        <f>+(Assumptions!Z35*Assumptions!$F$27)+(Assumptions!Z36*Assumptions!$F$28)+(Assumptions!Z37*Assumptions!$F$29)</f>
        <v>90.090090090090087</v>
      </c>
      <c r="N60" s="15">
        <f>+(Assumptions!AA35*Assumptions!$F$27)+(Assumptions!AA36*Assumptions!$F$28)+(Assumptions!AA37*Assumptions!$F$29)</f>
        <v>90.090090090090087</v>
      </c>
      <c r="O60" s="15">
        <f>+(Assumptions!AB35*Assumptions!$F$27)+(Assumptions!AB36*Assumptions!$F$28)+(Assumptions!AB37*Assumptions!$F$29)</f>
        <v>100.10010010010009</v>
      </c>
      <c r="P60" s="15">
        <f>+(Assumptions!AC35*Assumptions!$F$27)+(Assumptions!AC36*Assumptions!$F$28)+(Assumptions!AC37*Assumptions!$F$29)</f>
        <v>90.090090090090087</v>
      </c>
      <c r="Q60" s="64">
        <f>SUM(E60:P60)</f>
        <v>1121.1211211211212</v>
      </c>
      <c r="R60" s="14"/>
    </row>
    <row r="61" spans="1:19" ht="12.6">
      <c r="B61" s="6" t="s">
        <v>76</v>
      </c>
      <c r="C61" s="22"/>
      <c r="E61" s="15">
        <f>+E60+P7</f>
        <v>805.8058058058059</v>
      </c>
      <c r="F61" s="15">
        <f>+F60+E61</f>
        <v>905.90590590590602</v>
      </c>
      <c r="G61" s="15">
        <f t="shared" ref="G61:P61" si="19">+G60+F61</f>
        <v>995.99599599599605</v>
      </c>
      <c r="H61" s="15">
        <f t="shared" si="19"/>
        <v>1086.0860860860862</v>
      </c>
      <c r="I61" s="15">
        <f t="shared" si="19"/>
        <v>1186.1861861861862</v>
      </c>
      <c r="J61" s="15">
        <f t="shared" si="19"/>
        <v>1276.2762762762763</v>
      </c>
      <c r="K61" s="15">
        <f t="shared" si="19"/>
        <v>1366.3663663663665</v>
      </c>
      <c r="L61" s="15">
        <f t="shared" si="19"/>
        <v>1466.4664664664665</v>
      </c>
      <c r="M61" s="15">
        <f t="shared" si="19"/>
        <v>1556.5565565565566</v>
      </c>
      <c r="N61" s="15">
        <f t="shared" si="19"/>
        <v>1646.6466466466468</v>
      </c>
      <c r="O61" s="15">
        <f t="shared" si="19"/>
        <v>1746.7467467467468</v>
      </c>
      <c r="P61" s="15">
        <f t="shared" si="19"/>
        <v>1836.8368368368369</v>
      </c>
      <c r="Q61" s="3"/>
      <c r="R61" s="14"/>
    </row>
    <row r="62" spans="1:19" ht="12.6">
      <c r="B62" s="6"/>
      <c r="C62" s="22"/>
      <c r="Q62" s="3"/>
      <c r="R62" s="14"/>
    </row>
    <row r="63" spans="1:19">
      <c r="A63" s="1" t="s">
        <v>77</v>
      </c>
    </row>
    <row r="64" spans="1:19">
      <c r="A64" s="4"/>
      <c r="B64" s="6" t="s">
        <v>78</v>
      </c>
      <c r="E64">
        <f>+E60*(Assumptions!$I$5/Assumptions!$I$7)</f>
        <v>204545.45454545453</v>
      </c>
      <c r="F64">
        <f>+F60*(Assumptions!$I$5/Assumptions!$I$7)</f>
        <v>227272.72727272726</v>
      </c>
      <c r="G64">
        <f>+G60*(Assumptions!$I$5/Assumptions!$I$7)</f>
        <v>204545.45454545453</v>
      </c>
      <c r="H64">
        <f>+H60*(Assumptions!$I$5/Assumptions!$I$7)</f>
        <v>204545.45454545453</v>
      </c>
      <c r="I64">
        <f>+I60*(Assumptions!$I$5/Assumptions!$I$7)</f>
        <v>227272.72727272726</v>
      </c>
      <c r="J64">
        <f>+J60*(Assumptions!$I$5/Assumptions!$I$7)</f>
        <v>204545.45454545453</v>
      </c>
      <c r="K64">
        <f>+K60*(Assumptions!$I$5/Assumptions!$I$7)</f>
        <v>204545.45454545453</v>
      </c>
      <c r="L64">
        <f>+L60*(Assumptions!$I$5/Assumptions!$I$7)</f>
        <v>227272.72727272726</v>
      </c>
      <c r="M64">
        <f>+M60*(Assumptions!$I$5/Assumptions!$I$7)</f>
        <v>204545.45454545453</v>
      </c>
      <c r="N64">
        <f>+N60*(Assumptions!$I$5/Assumptions!$I$7)</f>
        <v>204545.45454545453</v>
      </c>
      <c r="O64">
        <f>+O60*(Assumptions!$I$5/Assumptions!$I$7)</f>
        <v>227272.72727272726</v>
      </c>
      <c r="P64">
        <f>+P60*(Assumptions!$I$5/Assumptions!$I$7)</f>
        <v>204545.45454545453</v>
      </c>
      <c r="Q64">
        <f>SUM(E64:P64)</f>
        <v>2545454.5454545454</v>
      </c>
      <c r="R64" s="16">
        <f>+Q64/$Q$70</f>
        <v>0.95247564669732165</v>
      </c>
    </row>
    <row r="65" spans="1:18">
      <c r="A65" s="4"/>
      <c r="B65" s="6" t="s">
        <v>79</v>
      </c>
      <c r="E65">
        <f>+E61*Assumptions!$I$11</f>
        <v>6446.4464464464472</v>
      </c>
      <c r="F65">
        <f>+F61*Assumptions!$I$11</f>
        <v>7247.2472472472482</v>
      </c>
      <c r="G65">
        <f>+G61*Assumptions!$I$11</f>
        <v>7967.9679679679684</v>
      </c>
      <c r="H65">
        <f>+H61*Assumptions!$I$11</f>
        <v>8688.6886886886896</v>
      </c>
      <c r="I65">
        <f>+I61*Assumptions!$I$11</f>
        <v>9489.4894894894896</v>
      </c>
      <c r="J65">
        <f>+J61*Assumptions!$I$11</f>
        <v>10210.210210210211</v>
      </c>
      <c r="K65">
        <f>+K61*Assumptions!$I$11</f>
        <v>10930.930930930932</v>
      </c>
      <c r="L65">
        <f>+L61*Assumptions!$I$11</f>
        <v>11731.731731731732</v>
      </c>
      <c r="M65">
        <f>+M61*Assumptions!$I$11</f>
        <v>12452.452452452453</v>
      </c>
      <c r="N65">
        <f>+N61*Assumptions!$I$11</f>
        <v>13173.173173173174</v>
      </c>
      <c r="O65">
        <f>+O61*Assumptions!$I$11</f>
        <v>13973.973973973974</v>
      </c>
      <c r="P65">
        <f>+P61*Assumptions!$I$11</f>
        <v>14694.694694694695</v>
      </c>
      <c r="Q65">
        <f>SUM(E65:P65)</f>
        <v>127007.00700700702</v>
      </c>
      <c r="R65" s="16">
        <f>+Q65/$Q$70</f>
        <v>4.7524353302678325E-2</v>
      </c>
    </row>
    <row r="66" spans="1:18">
      <c r="A66" s="4"/>
      <c r="B66" s="6" t="s">
        <v>80</v>
      </c>
      <c r="R66" s="16"/>
    </row>
    <row r="67" spans="1:18">
      <c r="A67" s="4"/>
      <c r="B67" s="75" t="s">
        <v>81</v>
      </c>
      <c r="C67" s="37"/>
      <c r="D67" s="37"/>
      <c r="E67" s="37">
        <v>0</v>
      </c>
      <c r="F67" s="37">
        <v>0</v>
      </c>
      <c r="G67" s="37">
        <v>0</v>
      </c>
      <c r="H67" s="37">
        <v>0</v>
      </c>
      <c r="I67" s="37">
        <v>0</v>
      </c>
      <c r="J67" s="37">
        <v>0</v>
      </c>
      <c r="K67" s="37">
        <v>0</v>
      </c>
      <c r="L67" s="37">
        <v>0</v>
      </c>
      <c r="M67" s="37">
        <v>0</v>
      </c>
      <c r="N67" s="37">
        <v>0</v>
      </c>
      <c r="O67" s="37">
        <v>0</v>
      </c>
      <c r="P67" s="37">
        <v>0</v>
      </c>
      <c r="Q67">
        <f>SUM(E67:P67)</f>
        <v>0</v>
      </c>
      <c r="R67" s="16">
        <f>+Q67/$Q$70</f>
        <v>0</v>
      </c>
    </row>
    <row r="68" spans="1:18">
      <c r="A68" s="4"/>
      <c r="B68" s="75" t="s">
        <v>81</v>
      </c>
      <c r="C68" s="37"/>
      <c r="D68" s="37"/>
      <c r="E68" s="37">
        <v>0</v>
      </c>
      <c r="F68" s="37">
        <v>0</v>
      </c>
      <c r="G68" s="37">
        <v>0</v>
      </c>
      <c r="H68" s="37">
        <v>0</v>
      </c>
      <c r="I68" s="37">
        <v>0</v>
      </c>
      <c r="J68" s="37">
        <v>0</v>
      </c>
      <c r="K68" s="37">
        <v>0</v>
      </c>
      <c r="L68" s="37">
        <v>0</v>
      </c>
      <c r="M68" s="37">
        <v>0</v>
      </c>
      <c r="N68" s="37">
        <v>0</v>
      </c>
      <c r="O68" s="37">
        <v>0</v>
      </c>
      <c r="P68" s="37">
        <v>0</v>
      </c>
      <c r="Q68">
        <f>SUM(E68:P68)</f>
        <v>0</v>
      </c>
      <c r="R68" s="16">
        <f>+Q68/$Q$70</f>
        <v>0</v>
      </c>
    </row>
    <row r="69" spans="1:18">
      <c r="A69" s="4"/>
      <c r="B69" s="75" t="s">
        <v>81</v>
      </c>
      <c r="C69" s="37"/>
      <c r="D69" s="37"/>
      <c r="E69" s="63">
        <v>0</v>
      </c>
      <c r="F69" s="63">
        <v>0</v>
      </c>
      <c r="G69" s="63">
        <v>0</v>
      </c>
      <c r="H69" s="63">
        <v>0</v>
      </c>
      <c r="I69" s="63">
        <v>0</v>
      </c>
      <c r="J69" s="63">
        <v>0</v>
      </c>
      <c r="K69" s="63">
        <v>0</v>
      </c>
      <c r="L69" s="63">
        <v>0</v>
      </c>
      <c r="M69" s="63">
        <v>0</v>
      </c>
      <c r="N69" s="63">
        <v>0</v>
      </c>
      <c r="O69" s="63">
        <v>0</v>
      </c>
      <c r="P69" s="63">
        <v>0</v>
      </c>
      <c r="Q69" s="2">
        <f>SUM(E69:P69)</f>
        <v>0</v>
      </c>
      <c r="R69" s="17">
        <f>+Q69/$Q$70</f>
        <v>0</v>
      </c>
    </row>
    <row r="70" spans="1:18">
      <c r="A70" s="4"/>
      <c r="C70" t="s">
        <v>82</v>
      </c>
      <c r="E70" s="9">
        <f t="shared" ref="E70:Q70" si="20">SUM(E64:E69)</f>
        <v>210991.90099190097</v>
      </c>
      <c r="F70" s="9">
        <f t="shared" si="20"/>
        <v>234519.97451997452</v>
      </c>
      <c r="G70" s="9">
        <f t="shared" si="20"/>
        <v>212513.4225134225</v>
      </c>
      <c r="H70" s="9">
        <f t="shared" si="20"/>
        <v>213234.14323414321</v>
      </c>
      <c r="I70" s="9">
        <f t="shared" si="20"/>
        <v>236762.21676221676</v>
      </c>
      <c r="J70" s="9">
        <f t="shared" si="20"/>
        <v>214755.66475566474</v>
      </c>
      <c r="K70" s="9">
        <f t="shared" si="20"/>
        <v>215476.38547638548</v>
      </c>
      <c r="L70" s="9">
        <f t="shared" si="20"/>
        <v>239004.459004459</v>
      </c>
      <c r="M70" s="9">
        <f t="shared" si="20"/>
        <v>216997.90699790698</v>
      </c>
      <c r="N70" s="9">
        <f t="shared" si="20"/>
        <v>217718.62771862771</v>
      </c>
      <c r="O70" s="9">
        <f t="shared" si="20"/>
        <v>241246.70124670124</v>
      </c>
      <c r="P70" s="9">
        <f t="shared" si="20"/>
        <v>219240.14924014921</v>
      </c>
      <c r="Q70" s="9">
        <f t="shared" si="20"/>
        <v>2672461.5524615524</v>
      </c>
      <c r="R70" s="17">
        <f>+Q70/$Q$70</f>
        <v>1</v>
      </c>
    </row>
    <row r="71" spans="1:18">
      <c r="A71" s="4"/>
      <c r="R71" s="16"/>
    </row>
    <row r="72" spans="1:18">
      <c r="A72" s="1" t="s">
        <v>83</v>
      </c>
    </row>
    <row r="73" spans="1:18">
      <c r="A73" s="4"/>
      <c r="B73" s="6" t="s">
        <v>84</v>
      </c>
      <c r="E73">
        <f>+E60*Assumptions!$I$8</f>
        <v>60810.810810810806</v>
      </c>
      <c r="F73">
        <f>+F60*Assumptions!$I$8</f>
        <v>67567.567567567559</v>
      </c>
      <c r="G73">
        <f>+G60*Assumptions!$I$8</f>
        <v>60810.810810810806</v>
      </c>
      <c r="H73">
        <f>+H60*Assumptions!$I$8</f>
        <v>60810.810810810806</v>
      </c>
      <c r="I73">
        <f>+I60*Assumptions!$I$8</f>
        <v>67567.567567567559</v>
      </c>
      <c r="J73">
        <f>+J60*Assumptions!$I$8</f>
        <v>60810.810810810806</v>
      </c>
      <c r="K73">
        <f>+K60*Assumptions!$I$8</f>
        <v>60810.810810810806</v>
      </c>
      <c r="L73">
        <f>+L60*Assumptions!$I$8</f>
        <v>67567.567567567559</v>
      </c>
      <c r="M73">
        <f>+M60*Assumptions!$I$8</f>
        <v>60810.810810810806</v>
      </c>
      <c r="N73">
        <f>+N60*Assumptions!$I$8</f>
        <v>60810.810810810806</v>
      </c>
      <c r="O73">
        <f>+O60*Assumptions!$I$8</f>
        <v>67567.567567567559</v>
      </c>
      <c r="P73">
        <f>+P60*Assumptions!$I$8</f>
        <v>60810.810810810806</v>
      </c>
      <c r="Q73">
        <f>SUM(E73:P73)</f>
        <v>756756.75675675669</v>
      </c>
      <c r="R73" s="16">
        <f>Q73/$Q$70</f>
        <v>0.28316843550460913</v>
      </c>
    </row>
    <row r="74" spans="1:18">
      <c r="A74" s="4"/>
      <c r="B74" s="6" t="s">
        <v>85</v>
      </c>
      <c r="E74">
        <f>+Assumptions!$I$15*Assumptions!$I$16</f>
        <v>2500</v>
      </c>
      <c r="F74">
        <f>+Assumptions!$I$15*Assumptions!$I$16</f>
        <v>2500</v>
      </c>
      <c r="G74">
        <f>+Assumptions!$I$15*Assumptions!$I$16</f>
        <v>2500</v>
      </c>
      <c r="H74">
        <f>+Assumptions!$I$15*Assumptions!$I$16</f>
        <v>2500</v>
      </c>
      <c r="I74">
        <f>+Assumptions!$I$15*Assumptions!$I$16</f>
        <v>2500</v>
      </c>
      <c r="J74">
        <f>+Assumptions!$I$15*Assumptions!$I$16</f>
        <v>2500</v>
      </c>
      <c r="K74">
        <f>+Assumptions!$I$15*Assumptions!$I$16</f>
        <v>2500</v>
      </c>
      <c r="L74">
        <f>+Assumptions!$I$15*Assumptions!$I$16</f>
        <v>2500</v>
      </c>
      <c r="M74">
        <f>+Assumptions!$I$15*Assumptions!$I$16</f>
        <v>2500</v>
      </c>
      <c r="N74">
        <f>+Assumptions!$I$15*Assumptions!$I$16</f>
        <v>2500</v>
      </c>
      <c r="O74">
        <f>+Assumptions!$I$15*Assumptions!$I$16</f>
        <v>2500</v>
      </c>
      <c r="P74">
        <f>+Assumptions!$I$15*Assumptions!$I$16</f>
        <v>2500</v>
      </c>
      <c r="Q74">
        <f t="shared" ref="Q74:Q80" si="21">SUM(E74:P74)</f>
        <v>30000</v>
      </c>
      <c r="R74" s="16">
        <f t="shared" ref="R74:R80" si="22">Q74/$Q$70</f>
        <v>1.1225605836075576E-2</v>
      </c>
    </row>
    <row r="75" spans="1:18">
      <c r="A75" s="4"/>
      <c r="B75" s="6" t="s">
        <v>86</v>
      </c>
      <c r="E75">
        <f>+Assumptions!R34*Assumptions!$I$24</f>
        <v>8000</v>
      </c>
      <c r="F75">
        <f>+Assumptions!S34*Assumptions!$I$24</f>
        <v>8000</v>
      </c>
      <c r="G75">
        <f>+Assumptions!T34*Assumptions!$I$24</f>
        <v>8000</v>
      </c>
      <c r="H75">
        <f>+Assumptions!U34*Assumptions!$I$24</f>
        <v>8000</v>
      </c>
      <c r="I75">
        <f>+Assumptions!V34*Assumptions!$I$24</f>
        <v>8000</v>
      </c>
      <c r="J75">
        <f>+Assumptions!W34*Assumptions!$I$24</f>
        <v>8000</v>
      </c>
      <c r="K75">
        <f>+Assumptions!X34*Assumptions!$I$24</f>
        <v>8000</v>
      </c>
      <c r="L75">
        <f>+Assumptions!Y34*Assumptions!$I$24</f>
        <v>8000</v>
      </c>
      <c r="M75">
        <f>+Assumptions!Z34*Assumptions!$I$24</f>
        <v>8000</v>
      </c>
      <c r="N75">
        <f>+Assumptions!AA34*Assumptions!$I$24</f>
        <v>8000</v>
      </c>
      <c r="O75">
        <f>+Assumptions!AB34*Assumptions!$I$24</f>
        <v>8000</v>
      </c>
      <c r="P75">
        <f>+Assumptions!AC34*Assumptions!$I$24</f>
        <v>8000</v>
      </c>
      <c r="Q75">
        <f t="shared" si="21"/>
        <v>96000</v>
      </c>
      <c r="R75" s="16">
        <f t="shared" si="22"/>
        <v>3.5921938675441849E-2</v>
      </c>
    </row>
    <row r="76" spans="1:18">
      <c r="A76" s="4"/>
      <c r="B76" s="6" t="s">
        <v>87</v>
      </c>
      <c r="E76">
        <f>+(E60*Assumptions!$I$5*Assumptions!$I$6*Assumptions!$I$19)</f>
        <v>4725</v>
      </c>
      <c r="F76">
        <f>+(F60*Assumptions!$I$5*Assumptions!$I$6*Assumptions!$I$19)</f>
        <v>5250.0000000000009</v>
      </c>
      <c r="G76">
        <f>+(G60*Assumptions!$I$5*Assumptions!$I$6*Assumptions!$I$19)</f>
        <v>4725</v>
      </c>
      <c r="H76">
        <f>+(H60*Assumptions!$I$5*Assumptions!$I$6*Assumptions!$I$19)</f>
        <v>4725</v>
      </c>
      <c r="I76">
        <f>+(I60*Assumptions!$I$5*Assumptions!$I$6*Assumptions!$I$19)</f>
        <v>5250.0000000000009</v>
      </c>
      <c r="J76">
        <f>+(J60*Assumptions!$I$5*Assumptions!$I$6*Assumptions!$I$19)</f>
        <v>4725</v>
      </c>
      <c r="K76">
        <f>+(K60*Assumptions!$I$5*Assumptions!$I$6*Assumptions!$I$19)</f>
        <v>4725</v>
      </c>
      <c r="L76">
        <f>+(L60*Assumptions!$I$5*Assumptions!$I$6*Assumptions!$I$19)</f>
        <v>5250.0000000000009</v>
      </c>
      <c r="M76">
        <f>+(M60*Assumptions!$I$5*Assumptions!$I$6*Assumptions!$I$19)</f>
        <v>4725</v>
      </c>
      <c r="N76">
        <f>+(N60*Assumptions!$I$5*Assumptions!$I$6*Assumptions!$I$19)</f>
        <v>4725</v>
      </c>
      <c r="O76">
        <f>+(O60*Assumptions!$I$5*Assumptions!$I$6*Assumptions!$I$19)</f>
        <v>5250.0000000000009</v>
      </c>
      <c r="P76">
        <f>+(P60*Assumptions!$I$5*Assumptions!$I$6*Assumptions!$I$19)</f>
        <v>4725</v>
      </c>
      <c r="Q76">
        <f t="shared" si="21"/>
        <v>58800</v>
      </c>
      <c r="R76" s="16">
        <f t="shared" si="22"/>
        <v>2.2002187438708132E-2</v>
      </c>
    </row>
    <row r="77" spans="1:18">
      <c r="A77" s="4"/>
      <c r="B77" s="6" t="s">
        <v>88</v>
      </c>
      <c r="E77">
        <f>+E60*Assumptions!$I$5*Assumptions!$I$6*Assumptions!$I$25</f>
        <v>27000</v>
      </c>
      <c r="F77">
        <f>+F60*Assumptions!$I$5*Assumptions!$I$6*Assumptions!$I$25</f>
        <v>30000</v>
      </c>
      <c r="G77">
        <f>+G60*Assumptions!$I$5*Assumptions!$I$6*Assumptions!$I$25</f>
        <v>27000</v>
      </c>
      <c r="H77">
        <f>+H60*Assumptions!$I$5*Assumptions!$I$6*Assumptions!$I$25</f>
        <v>27000</v>
      </c>
      <c r="I77">
        <f>+I60*Assumptions!$I$5*Assumptions!$I$6*Assumptions!$I$25</f>
        <v>30000</v>
      </c>
      <c r="J77">
        <f>+J60*Assumptions!$I$5*Assumptions!$I$6*Assumptions!$I$25</f>
        <v>27000</v>
      </c>
      <c r="K77">
        <f>+K60*Assumptions!$I$5*Assumptions!$I$6*Assumptions!$I$25</f>
        <v>27000</v>
      </c>
      <c r="L77">
        <f>+L60*Assumptions!$I$5*Assumptions!$I$6*Assumptions!$I$25</f>
        <v>30000</v>
      </c>
      <c r="M77">
        <f>+M60*Assumptions!$I$5*Assumptions!$I$6*Assumptions!$I$25</f>
        <v>27000</v>
      </c>
      <c r="N77">
        <f>+N60*Assumptions!$I$5*Assumptions!$I$6*Assumptions!$I$25</f>
        <v>27000</v>
      </c>
      <c r="O77">
        <f>+O60*Assumptions!$I$5*Assumptions!$I$6*Assumptions!$I$25</f>
        <v>30000</v>
      </c>
      <c r="P77">
        <f>+P60*Assumptions!$I$5*Assumptions!$I$6*Assumptions!$I$25</f>
        <v>27000</v>
      </c>
      <c r="Q77">
        <f>SUM(E77:P77)</f>
        <v>336000</v>
      </c>
      <c r="R77" s="16">
        <f t="shared" si="22"/>
        <v>0.12572678536404647</v>
      </c>
    </row>
    <row r="78" spans="1:18">
      <c r="A78" s="4"/>
      <c r="B78" s="6" t="s">
        <v>89</v>
      </c>
      <c r="E78">
        <f>+(Assumptions!R35*Assumptions!$L$27)+(Assumptions!R36*Assumptions!$L$28)+(Assumptions!R37*Assumptions!$L$29)</f>
        <v>1500</v>
      </c>
      <c r="F78">
        <f>+(Assumptions!S35*Assumptions!$L$27)+(Assumptions!S36*Assumptions!$L$28)+(Assumptions!S37*Assumptions!$L$29)</f>
        <v>2850</v>
      </c>
      <c r="G78">
        <f>+(Assumptions!T35*Assumptions!$L$27)+(Assumptions!T36*Assumptions!$L$28)+(Assumptions!T37*Assumptions!$L$29)</f>
        <v>1500</v>
      </c>
      <c r="H78">
        <f>+(Assumptions!U35*Assumptions!$L$27)+(Assumptions!U36*Assumptions!$L$28)+(Assumptions!U37*Assumptions!$L$29)</f>
        <v>1500</v>
      </c>
      <c r="I78">
        <f>+(Assumptions!V35*Assumptions!$L$27)+(Assumptions!V36*Assumptions!$L$28)+(Assumptions!V37*Assumptions!$L$29)</f>
        <v>2850</v>
      </c>
      <c r="J78">
        <f>+(Assumptions!W35*Assumptions!$L$27)+(Assumptions!W36*Assumptions!$L$28)+(Assumptions!W37*Assumptions!$L$29)</f>
        <v>1500</v>
      </c>
      <c r="K78">
        <f>+(Assumptions!X35*Assumptions!$L$27)+(Assumptions!X36*Assumptions!$L$28)+(Assumptions!X37*Assumptions!$L$29)</f>
        <v>1500</v>
      </c>
      <c r="L78">
        <f>+(Assumptions!Y35*Assumptions!$L$27)+(Assumptions!Y36*Assumptions!$L$28)+(Assumptions!Y37*Assumptions!$L$29)</f>
        <v>2850</v>
      </c>
      <c r="M78">
        <f>+(Assumptions!Z35*Assumptions!$L$27)+(Assumptions!Z36*Assumptions!$L$28)+(Assumptions!Z37*Assumptions!$L$29)</f>
        <v>1500</v>
      </c>
      <c r="N78">
        <f>+(Assumptions!AA35*Assumptions!$L$27)+(Assumptions!AA36*Assumptions!$L$28)+(Assumptions!AA37*Assumptions!$L$29)</f>
        <v>1500</v>
      </c>
      <c r="O78">
        <f>+(Assumptions!AB35*Assumptions!$L$27)+(Assumptions!AB36*Assumptions!$L$28)+(Assumptions!AB37*Assumptions!$L$29)</f>
        <v>2850</v>
      </c>
      <c r="P78">
        <f>+(Assumptions!AC35*Assumptions!$L$27)+(Assumptions!AC36*Assumptions!$L$28)+(Assumptions!AC37*Assumptions!$L$29)</f>
        <v>1500</v>
      </c>
      <c r="Q78">
        <f t="shared" si="21"/>
        <v>23400</v>
      </c>
      <c r="R78" s="16">
        <f t="shared" si="22"/>
        <v>8.7559725521389499E-3</v>
      </c>
    </row>
    <row r="79" spans="1:18">
      <c r="A79" s="4"/>
      <c r="B79" s="6" t="s">
        <v>90</v>
      </c>
      <c r="E79">
        <f>+Assumptions!R60</f>
        <v>12090.000000000007</v>
      </c>
      <c r="F79">
        <f>+Assumptions!S60</f>
        <v>12090.000000000007</v>
      </c>
      <c r="G79">
        <f>+Assumptions!T60</f>
        <v>12090.000000000007</v>
      </c>
      <c r="H79">
        <f>+Assumptions!U60</f>
        <v>12090.000000000007</v>
      </c>
      <c r="I79">
        <f>+Assumptions!V60</f>
        <v>12090.000000000007</v>
      </c>
      <c r="J79">
        <f>+Assumptions!W60</f>
        <v>12090.000000000007</v>
      </c>
      <c r="K79">
        <f>+Assumptions!X60</f>
        <v>12090.000000000007</v>
      </c>
      <c r="L79">
        <f>+Assumptions!Y60</f>
        <v>12090.000000000007</v>
      </c>
      <c r="M79">
        <f>+Assumptions!Z60</f>
        <v>12090.000000000007</v>
      </c>
      <c r="N79">
        <f>+Assumptions!AA60</f>
        <v>12090.000000000007</v>
      </c>
      <c r="O79">
        <f>+Assumptions!AB60</f>
        <v>12090.000000000007</v>
      </c>
      <c r="P79">
        <f>+Assumptions!AC60</f>
        <v>12090.000000000007</v>
      </c>
      <c r="Q79">
        <f t="shared" si="21"/>
        <v>145080.00000000006</v>
      </c>
      <c r="R79" s="16">
        <f t="shared" si="22"/>
        <v>5.4287029823261515E-2</v>
      </c>
    </row>
    <row r="80" spans="1:18">
      <c r="A80" s="4"/>
      <c r="B80" s="6" t="s">
        <v>91</v>
      </c>
      <c r="D80" s="36">
        <v>0.02</v>
      </c>
      <c r="E80" s="2">
        <f>+E64*$D$26</f>
        <v>4090.9090909090905</v>
      </c>
      <c r="F80" s="2">
        <f t="shared" ref="F80:P80" si="23">+F64*$D$26</f>
        <v>4545.454545454545</v>
      </c>
      <c r="G80" s="2">
        <f t="shared" si="23"/>
        <v>4090.9090909090905</v>
      </c>
      <c r="H80" s="2">
        <f t="shared" si="23"/>
        <v>4090.9090909090905</v>
      </c>
      <c r="I80" s="2">
        <f t="shared" si="23"/>
        <v>4545.454545454545</v>
      </c>
      <c r="J80" s="2">
        <f t="shared" si="23"/>
        <v>4090.9090909090905</v>
      </c>
      <c r="K80" s="2">
        <f t="shared" si="23"/>
        <v>4090.9090909090905</v>
      </c>
      <c r="L80" s="2">
        <f t="shared" si="23"/>
        <v>4545.454545454545</v>
      </c>
      <c r="M80" s="2">
        <f t="shared" si="23"/>
        <v>4090.9090909090905</v>
      </c>
      <c r="N80" s="2">
        <f t="shared" si="23"/>
        <v>4090.9090909090905</v>
      </c>
      <c r="O80" s="2">
        <f t="shared" si="23"/>
        <v>4545.454545454545</v>
      </c>
      <c r="P80" s="2">
        <f t="shared" si="23"/>
        <v>4090.9090909090905</v>
      </c>
      <c r="Q80" s="2">
        <f t="shared" si="21"/>
        <v>50909.090909090897</v>
      </c>
      <c r="R80" s="16">
        <f t="shared" si="22"/>
        <v>1.9049512933946428E-2</v>
      </c>
    </row>
    <row r="81" spans="1:18">
      <c r="A81" s="4"/>
      <c r="E81" s="9">
        <f t="shared" ref="E81:Q81" si="24">SUM(E73:E80)</f>
        <v>120716.71990171989</v>
      </c>
      <c r="F81" s="9">
        <f t="shared" si="24"/>
        <v>132803.02211302213</v>
      </c>
      <c r="G81" s="9">
        <f t="shared" si="24"/>
        <v>120716.71990171989</v>
      </c>
      <c r="H81" s="9">
        <f t="shared" si="24"/>
        <v>120716.71990171989</v>
      </c>
      <c r="I81" s="9">
        <f t="shared" si="24"/>
        <v>132803.02211302213</v>
      </c>
      <c r="J81" s="9">
        <f t="shared" si="24"/>
        <v>120716.71990171989</v>
      </c>
      <c r="K81" s="9">
        <f t="shared" si="24"/>
        <v>120716.71990171989</v>
      </c>
      <c r="L81" s="9">
        <f t="shared" si="24"/>
        <v>132803.02211302213</v>
      </c>
      <c r="M81" s="9">
        <f t="shared" si="24"/>
        <v>120716.71990171989</v>
      </c>
      <c r="N81" s="9">
        <f t="shared" si="24"/>
        <v>120716.71990171989</v>
      </c>
      <c r="O81" s="9">
        <f t="shared" si="24"/>
        <v>132803.02211302213</v>
      </c>
      <c r="P81" s="9">
        <f t="shared" si="24"/>
        <v>120716.71990171989</v>
      </c>
      <c r="Q81" s="9">
        <f t="shared" si="24"/>
        <v>1496945.8476658475</v>
      </c>
      <c r="R81" s="35">
        <f>Q81/$Q$70</f>
        <v>0.56013746812822796</v>
      </c>
    </row>
    <row r="82" spans="1:18">
      <c r="A82" s="4"/>
    </row>
    <row r="83" spans="1:18">
      <c r="A83" s="1" t="s">
        <v>92</v>
      </c>
      <c r="E83" s="9">
        <f>+E70-E81</f>
        <v>90275.181090181082</v>
      </c>
      <c r="F83" s="9">
        <f t="shared" ref="F83:P83" si="25">+F70-F81</f>
        <v>101716.95240695239</v>
      </c>
      <c r="G83" s="9">
        <f t="shared" si="25"/>
        <v>91796.702611702611</v>
      </c>
      <c r="H83" s="9">
        <f t="shared" si="25"/>
        <v>92517.423332423321</v>
      </c>
      <c r="I83" s="9">
        <f t="shared" si="25"/>
        <v>103959.19464919463</v>
      </c>
      <c r="J83" s="9">
        <f t="shared" si="25"/>
        <v>94038.944853944849</v>
      </c>
      <c r="K83" s="9">
        <f t="shared" si="25"/>
        <v>94759.665574665589</v>
      </c>
      <c r="L83" s="9">
        <f t="shared" si="25"/>
        <v>106201.43689143687</v>
      </c>
      <c r="M83" s="9">
        <f t="shared" si="25"/>
        <v>96281.187096187088</v>
      </c>
      <c r="N83" s="9">
        <f t="shared" si="25"/>
        <v>97001.907816907828</v>
      </c>
      <c r="O83" s="9">
        <f t="shared" si="25"/>
        <v>108443.67913367911</v>
      </c>
      <c r="P83" s="9">
        <f t="shared" si="25"/>
        <v>98523.429338429327</v>
      </c>
      <c r="Q83" s="9">
        <f>Q70-Q81</f>
        <v>1175515.7047957049</v>
      </c>
      <c r="R83" s="18">
        <f>Q83/$Q$70</f>
        <v>0.43986253187177199</v>
      </c>
    </row>
    <row r="84" spans="1:18" ht="11.25" customHeight="1">
      <c r="A84" s="4"/>
      <c r="E84" s="19">
        <f t="shared" ref="E84:Q84" si="26">E83/E70</f>
        <v>0.42786088312293247</v>
      </c>
      <c r="F84" s="19">
        <f t="shared" si="26"/>
        <v>0.43372404681158178</v>
      </c>
      <c r="G84" s="19">
        <f t="shared" si="26"/>
        <v>0.43195719840192526</v>
      </c>
      <c r="H84" s="19">
        <f t="shared" si="26"/>
        <v>0.43387715461136978</v>
      </c>
      <c r="I84" s="19">
        <f t="shared" si="26"/>
        <v>0.43908692894864276</v>
      </c>
      <c r="J84" s="19">
        <f t="shared" si="26"/>
        <v>0.43788807601855972</v>
      </c>
      <c r="K84" s="19">
        <f t="shared" si="26"/>
        <v>0.43976821573819513</v>
      </c>
      <c r="L84" s="19">
        <f t="shared" si="26"/>
        <v>0.4443491863449105</v>
      </c>
      <c r="M84" s="19">
        <f t="shared" si="26"/>
        <v>0.44369638596152799</v>
      </c>
      <c r="N84" s="19">
        <f t="shared" si="26"/>
        <v>0.44553793505565292</v>
      </c>
      <c r="O84" s="19">
        <f t="shared" si="26"/>
        <v>0.44951362473878365</v>
      </c>
      <c r="P84" s="19">
        <f t="shared" si="26"/>
        <v>0.44938588885245495</v>
      </c>
      <c r="Q84" s="19">
        <f t="shared" si="26"/>
        <v>0.43986253187177199</v>
      </c>
    </row>
    <row r="85" spans="1:18">
      <c r="A85" s="1" t="s">
        <v>93</v>
      </c>
    </row>
    <row r="86" spans="1:18">
      <c r="A86" s="4"/>
      <c r="B86" s="6" t="s">
        <v>94</v>
      </c>
      <c r="D86" s="34">
        <v>0.02</v>
      </c>
      <c r="E86" s="37">
        <f>+E64*$D$86</f>
        <v>4090.9090909090905</v>
      </c>
      <c r="F86" s="37">
        <f t="shared" ref="F86:P86" si="27">+F64*$D$86</f>
        <v>4545.454545454545</v>
      </c>
      <c r="G86" s="37">
        <f t="shared" si="27"/>
        <v>4090.9090909090905</v>
      </c>
      <c r="H86" s="37">
        <f t="shared" si="27"/>
        <v>4090.9090909090905</v>
      </c>
      <c r="I86" s="37">
        <f t="shared" si="27"/>
        <v>4545.454545454545</v>
      </c>
      <c r="J86" s="37">
        <f t="shared" si="27"/>
        <v>4090.9090909090905</v>
      </c>
      <c r="K86" s="37">
        <f t="shared" si="27"/>
        <v>4090.9090909090905</v>
      </c>
      <c r="L86" s="37">
        <f t="shared" si="27"/>
        <v>4545.454545454545</v>
      </c>
      <c r="M86" s="37">
        <f t="shared" si="27"/>
        <v>4090.9090909090905</v>
      </c>
      <c r="N86" s="37">
        <f t="shared" si="27"/>
        <v>4090.9090909090905</v>
      </c>
      <c r="O86" s="37">
        <f t="shared" si="27"/>
        <v>4545.454545454545</v>
      </c>
      <c r="P86" s="37">
        <f t="shared" si="27"/>
        <v>4090.9090909090905</v>
      </c>
      <c r="Q86">
        <f>SUM(E86:P86)</f>
        <v>50909.090909090897</v>
      </c>
      <c r="R86" s="16">
        <f>Q86/$Q$70</f>
        <v>1.9049512933946428E-2</v>
      </c>
    </row>
    <row r="87" spans="1:18">
      <c r="A87" s="4"/>
      <c r="B87" s="6" t="s">
        <v>95</v>
      </c>
      <c r="E87" s="37">
        <v>2700</v>
      </c>
      <c r="F87" s="37">
        <v>2700</v>
      </c>
      <c r="G87" s="37">
        <v>2700</v>
      </c>
      <c r="H87" s="37">
        <v>2700</v>
      </c>
      <c r="I87" s="37">
        <v>2700</v>
      </c>
      <c r="J87" s="37">
        <v>2700</v>
      </c>
      <c r="K87" s="37">
        <v>2700</v>
      </c>
      <c r="L87" s="37">
        <v>2700</v>
      </c>
      <c r="M87" s="37">
        <v>2700</v>
      </c>
      <c r="N87" s="37">
        <v>2700</v>
      </c>
      <c r="O87" s="37">
        <v>2700</v>
      </c>
      <c r="P87" s="37">
        <v>2700</v>
      </c>
      <c r="Q87">
        <f t="shared" ref="Q87:Q101" si="28">SUM(E87:P87)</f>
        <v>32400</v>
      </c>
      <c r="R87" s="16">
        <f t="shared" ref="R87:R101" si="29">Q87/$Q$70</f>
        <v>1.2123654302961624E-2</v>
      </c>
    </row>
    <row r="88" spans="1:18">
      <c r="A88" s="4"/>
      <c r="B88" s="6" t="s">
        <v>96</v>
      </c>
      <c r="E88" s="37">
        <v>150</v>
      </c>
      <c r="F88" s="37">
        <v>150</v>
      </c>
      <c r="G88" s="37">
        <v>150</v>
      </c>
      <c r="H88" s="37">
        <v>150</v>
      </c>
      <c r="I88" s="37">
        <v>150</v>
      </c>
      <c r="J88" s="37">
        <v>150</v>
      </c>
      <c r="K88" s="37">
        <v>150</v>
      </c>
      <c r="L88" s="37">
        <v>150</v>
      </c>
      <c r="M88" s="37">
        <v>150</v>
      </c>
      <c r="N88" s="37">
        <v>150</v>
      </c>
      <c r="O88" s="37">
        <v>150</v>
      </c>
      <c r="P88" s="37">
        <v>150</v>
      </c>
      <c r="Q88">
        <f t="shared" si="28"/>
        <v>1800</v>
      </c>
      <c r="R88" s="16">
        <f t="shared" si="29"/>
        <v>6.735363501645346E-4</v>
      </c>
    </row>
    <row r="89" spans="1:18">
      <c r="A89" s="4"/>
      <c r="B89" s="6" t="s">
        <v>97</v>
      </c>
      <c r="E89">
        <f>+Assumptions!R78*Assumptions!$I$12</f>
        <v>3000</v>
      </c>
      <c r="F89">
        <f>+Assumptions!S78*Assumptions!$I$12</f>
        <v>3000</v>
      </c>
      <c r="G89">
        <f>+Assumptions!T78*Assumptions!$I$12</f>
        <v>3000</v>
      </c>
      <c r="H89">
        <f>+Assumptions!U78*Assumptions!$I$12</f>
        <v>3000</v>
      </c>
      <c r="I89">
        <f>+Assumptions!V78*Assumptions!$I$12</f>
        <v>3000</v>
      </c>
      <c r="J89">
        <f>+Assumptions!W78*Assumptions!$I$12</f>
        <v>3000</v>
      </c>
      <c r="K89">
        <f>+Assumptions!X78*Assumptions!$I$12</f>
        <v>3000</v>
      </c>
      <c r="L89">
        <f>+Assumptions!Y78*Assumptions!$I$12</f>
        <v>3000</v>
      </c>
      <c r="M89">
        <f>+Assumptions!Z78*Assumptions!$I$12</f>
        <v>3000</v>
      </c>
      <c r="N89">
        <f>+Assumptions!AA78*Assumptions!$I$12</f>
        <v>3000</v>
      </c>
      <c r="O89">
        <f>+Assumptions!AB78*Assumptions!$I$12</f>
        <v>3000</v>
      </c>
      <c r="P89">
        <f>+Assumptions!AC78*Assumptions!$I$12</f>
        <v>3000</v>
      </c>
      <c r="Q89">
        <f t="shared" si="28"/>
        <v>36000</v>
      </c>
      <c r="R89" s="16">
        <f t="shared" si="29"/>
        <v>1.3470727003290692E-2</v>
      </c>
    </row>
    <row r="90" spans="1:18">
      <c r="A90" s="4"/>
      <c r="B90" s="6" t="s">
        <v>98</v>
      </c>
      <c r="E90" s="37">
        <v>800</v>
      </c>
      <c r="F90" s="37">
        <v>800</v>
      </c>
      <c r="G90" s="37">
        <v>800</v>
      </c>
      <c r="H90" s="37">
        <v>800</v>
      </c>
      <c r="I90" s="37">
        <v>800</v>
      </c>
      <c r="J90" s="37">
        <v>800</v>
      </c>
      <c r="K90" s="37">
        <v>800</v>
      </c>
      <c r="L90" s="37">
        <v>800</v>
      </c>
      <c r="M90" s="37">
        <v>800</v>
      </c>
      <c r="N90" s="37">
        <v>800</v>
      </c>
      <c r="O90" s="37">
        <v>800</v>
      </c>
      <c r="P90" s="37">
        <v>800</v>
      </c>
      <c r="Q90">
        <f t="shared" si="28"/>
        <v>9600</v>
      </c>
      <c r="R90" s="16">
        <f t="shared" si="29"/>
        <v>3.5921938675441845E-3</v>
      </c>
    </row>
    <row r="91" spans="1:18">
      <c r="A91" s="4"/>
      <c r="B91" s="6" t="s">
        <v>99</v>
      </c>
      <c r="E91" s="37">
        <v>150</v>
      </c>
      <c r="F91" s="37">
        <v>150</v>
      </c>
      <c r="G91" s="37">
        <v>150</v>
      </c>
      <c r="H91" s="37">
        <v>150</v>
      </c>
      <c r="I91" s="37">
        <v>150</v>
      </c>
      <c r="J91" s="37">
        <v>150</v>
      </c>
      <c r="K91" s="37">
        <v>150</v>
      </c>
      <c r="L91" s="37">
        <v>150</v>
      </c>
      <c r="M91" s="37">
        <v>150</v>
      </c>
      <c r="N91" s="37">
        <v>150</v>
      </c>
      <c r="O91" s="37">
        <v>150</v>
      </c>
      <c r="P91" s="37">
        <v>150</v>
      </c>
      <c r="Q91">
        <f t="shared" si="28"/>
        <v>1800</v>
      </c>
      <c r="R91" s="16">
        <f t="shared" si="29"/>
        <v>6.735363501645346E-4</v>
      </c>
    </row>
    <row r="92" spans="1:18" ht="10.5" customHeight="1">
      <c r="A92" s="4"/>
      <c r="B92" s="6" t="s">
        <v>100</v>
      </c>
      <c r="E92" s="37">
        <v>400</v>
      </c>
      <c r="F92" s="37">
        <v>400</v>
      </c>
      <c r="G92" s="37">
        <v>400</v>
      </c>
      <c r="H92" s="37">
        <v>400</v>
      </c>
      <c r="I92" s="37">
        <v>400</v>
      </c>
      <c r="J92" s="37">
        <v>400</v>
      </c>
      <c r="K92" s="37">
        <v>400</v>
      </c>
      <c r="L92" s="37">
        <v>400</v>
      </c>
      <c r="M92" s="37">
        <v>400</v>
      </c>
      <c r="N92" s="37">
        <v>400</v>
      </c>
      <c r="O92" s="37">
        <v>400</v>
      </c>
      <c r="P92" s="37">
        <v>400</v>
      </c>
      <c r="Q92">
        <f t="shared" si="28"/>
        <v>4800</v>
      </c>
      <c r="R92" s="16">
        <f t="shared" si="29"/>
        <v>1.7960969337720923E-3</v>
      </c>
    </row>
    <row r="93" spans="1:18">
      <c r="A93" s="4"/>
      <c r="B93" s="6" t="s">
        <v>101</v>
      </c>
      <c r="E93" s="37">
        <v>400</v>
      </c>
      <c r="F93" s="37">
        <v>400</v>
      </c>
      <c r="G93" s="37">
        <v>400</v>
      </c>
      <c r="H93" s="37">
        <v>400</v>
      </c>
      <c r="I93" s="37">
        <v>400</v>
      </c>
      <c r="J93" s="37">
        <v>400</v>
      </c>
      <c r="K93" s="37">
        <v>400</v>
      </c>
      <c r="L93" s="37">
        <v>400</v>
      </c>
      <c r="M93" s="37">
        <v>400</v>
      </c>
      <c r="N93" s="37">
        <v>400</v>
      </c>
      <c r="O93" s="37">
        <v>400</v>
      </c>
      <c r="P93" s="37">
        <v>400</v>
      </c>
      <c r="Q93">
        <f t="shared" si="28"/>
        <v>4800</v>
      </c>
      <c r="R93" s="16">
        <f t="shared" si="29"/>
        <v>1.7960969337720923E-3</v>
      </c>
    </row>
    <row r="94" spans="1:18" ht="9" customHeight="1">
      <c r="A94" s="4"/>
      <c r="B94" s="6" t="s">
        <v>102</v>
      </c>
      <c r="D94" s="34">
        <v>0.12</v>
      </c>
      <c r="E94">
        <f>+(E74+E75+E76+E77+E78+E79)*$D$94</f>
        <v>6697.8</v>
      </c>
      <c r="F94">
        <f t="shared" ref="F94:P94" si="30">+(F74+F75+F76+F77+F78+F79)*$D$94</f>
        <v>7282.8</v>
      </c>
      <c r="G94">
        <f t="shared" si="30"/>
        <v>6697.8</v>
      </c>
      <c r="H94">
        <f t="shared" si="30"/>
        <v>6697.8</v>
      </c>
      <c r="I94">
        <f t="shared" si="30"/>
        <v>7282.8</v>
      </c>
      <c r="J94">
        <f t="shared" si="30"/>
        <v>6697.8</v>
      </c>
      <c r="K94">
        <f t="shared" si="30"/>
        <v>6697.8</v>
      </c>
      <c r="L94">
        <f t="shared" si="30"/>
        <v>7282.8</v>
      </c>
      <c r="M94">
        <f t="shared" si="30"/>
        <v>6697.8</v>
      </c>
      <c r="N94">
        <f t="shared" si="30"/>
        <v>6697.8</v>
      </c>
      <c r="O94">
        <f t="shared" si="30"/>
        <v>7282.8</v>
      </c>
      <c r="P94">
        <f t="shared" si="30"/>
        <v>6697.8</v>
      </c>
      <c r="Q94">
        <f t="shared" si="28"/>
        <v>82713.60000000002</v>
      </c>
      <c r="R94" s="16">
        <f t="shared" si="29"/>
        <v>3.0950342362760702E-2</v>
      </c>
    </row>
    <row r="95" spans="1:18">
      <c r="A95" s="4"/>
      <c r="B95" s="6" t="s">
        <v>103</v>
      </c>
      <c r="D95" s="34"/>
      <c r="E95" s="37">
        <v>150</v>
      </c>
      <c r="F95" s="37">
        <v>150</v>
      </c>
      <c r="G95" s="37">
        <v>150</v>
      </c>
      <c r="H95" s="37">
        <v>150</v>
      </c>
      <c r="I95" s="37">
        <v>150</v>
      </c>
      <c r="J95" s="37">
        <v>150</v>
      </c>
      <c r="K95" s="37">
        <v>150</v>
      </c>
      <c r="L95" s="37">
        <v>150</v>
      </c>
      <c r="M95" s="37">
        <v>150</v>
      </c>
      <c r="N95" s="37">
        <v>150</v>
      </c>
      <c r="O95" s="37">
        <v>150</v>
      </c>
      <c r="P95" s="37">
        <v>150</v>
      </c>
      <c r="Q95">
        <f t="shared" si="28"/>
        <v>1800</v>
      </c>
      <c r="R95" s="16">
        <f t="shared" si="29"/>
        <v>6.735363501645346E-4</v>
      </c>
    </row>
    <row r="96" spans="1:18">
      <c r="A96" s="4"/>
      <c r="B96" s="6" t="s">
        <v>104</v>
      </c>
      <c r="E96" s="37">
        <v>2500</v>
      </c>
      <c r="F96" s="37">
        <v>2500</v>
      </c>
      <c r="G96" s="37">
        <v>2500</v>
      </c>
      <c r="H96" s="37">
        <v>2500</v>
      </c>
      <c r="I96" s="37">
        <v>2500</v>
      </c>
      <c r="J96" s="37">
        <v>2500</v>
      </c>
      <c r="K96" s="37">
        <v>2500</v>
      </c>
      <c r="L96" s="37">
        <v>2500</v>
      </c>
      <c r="M96" s="37">
        <v>2500</v>
      </c>
      <c r="N96" s="37">
        <v>2500</v>
      </c>
      <c r="O96" s="37">
        <v>2500</v>
      </c>
      <c r="P96" s="37">
        <v>2500</v>
      </c>
      <c r="Q96">
        <f t="shared" si="28"/>
        <v>30000</v>
      </c>
      <c r="R96" s="16">
        <f t="shared" si="29"/>
        <v>1.1225605836075576E-2</v>
      </c>
    </row>
    <row r="97" spans="1:18">
      <c r="A97" s="4"/>
      <c r="B97" s="6" t="s">
        <v>105</v>
      </c>
      <c r="E97" s="37">
        <v>400</v>
      </c>
      <c r="F97" s="37">
        <v>400</v>
      </c>
      <c r="G97" s="37">
        <v>400</v>
      </c>
      <c r="H97" s="37">
        <v>400</v>
      </c>
      <c r="I97" s="37">
        <v>400</v>
      </c>
      <c r="J97" s="37">
        <v>400</v>
      </c>
      <c r="K97" s="37">
        <v>400</v>
      </c>
      <c r="L97" s="37">
        <v>400</v>
      </c>
      <c r="M97" s="37">
        <v>400</v>
      </c>
      <c r="N97" s="37">
        <v>400</v>
      </c>
      <c r="O97" s="37">
        <v>400</v>
      </c>
      <c r="P97" s="37">
        <v>400</v>
      </c>
      <c r="Q97">
        <f t="shared" si="28"/>
        <v>4800</v>
      </c>
      <c r="R97" s="16">
        <f t="shared" si="29"/>
        <v>1.7960969337720923E-3</v>
      </c>
    </row>
    <row r="98" spans="1:18">
      <c r="A98" s="4"/>
      <c r="B98" s="6" t="s">
        <v>106</v>
      </c>
      <c r="E98">
        <f>+Assumptions!R76</f>
        <v>13100</v>
      </c>
      <c r="F98">
        <f>+Assumptions!S76</f>
        <v>13100</v>
      </c>
      <c r="G98">
        <f>+Assumptions!T76</f>
        <v>13100</v>
      </c>
      <c r="H98">
        <f>+Assumptions!U76</f>
        <v>13100</v>
      </c>
      <c r="I98">
        <f>+Assumptions!V76</f>
        <v>13100</v>
      </c>
      <c r="J98">
        <f>+Assumptions!W76</f>
        <v>13100</v>
      </c>
      <c r="K98">
        <f>+Assumptions!X76</f>
        <v>13100</v>
      </c>
      <c r="L98">
        <f>+Assumptions!Y76</f>
        <v>13100</v>
      </c>
      <c r="M98">
        <f>+Assumptions!Z76</f>
        <v>13100</v>
      </c>
      <c r="N98">
        <f>+Assumptions!AA76</f>
        <v>13100</v>
      </c>
      <c r="O98">
        <f>+Assumptions!AB76</f>
        <v>13100</v>
      </c>
      <c r="P98">
        <f>+Assumptions!AC76</f>
        <v>13100</v>
      </c>
      <c r="Q98">
        <f t="shared" si="28"/>
        <v>157200</v>
      </c>
      <c r="R98" s="16">
        <f t="shared" si="29"/>
        <v>5.8822174581036023E-2</v>
      </c>
    </row>
    <row r="99" spans="1:18">
      <c r="A99" s="4"/>
      <c r="B99" s="6" t="s">
        <v>107</v>
      </c>
      <c r="E99" s="37">
        <v>2250</v>
      </c>
      <c r="F99" s="37">
        <v>2250</v>
      </c>
      <c r="G99" s="37">
        <v>2250</v>
      </c>
      <c r="H99" s="37">
        <v>2250</v>
      </c>
      <c r="I99" s="37">
        <v>2250</v>
      </c>
      <c r="J99" s="37">
        <v>2250</v>
      </c>
      <c r="K99" s="37">
        <v>2250</v>
      </c>
      <c r="L99" s="37">
        <v>2250</v>
      </c>
      <c r="M99" s="37">
        <v>2250</v>
      </c>
      <c r="N99" s="37">
        <v>2250</v>
      </c>
      <c r="O99" s="37">
        <v>2250</v>
      </c>
      <c r="P99" s="37">
        <v>2250</v>
      </c>
      <c r="Q99">
        <f t="shared" si="28"/>
        <v>27000</v>
      </c>
      <c r="R99" s="16">
        <f t="shared" si="29"/>
        <v>1.010304525246802E-2</v>
      </c>
    </row>
    <row r="100" spans="1:18">
      <c r="A100" s="4"/>
      <c r="B100" s="6" t="s">
        <v>108</v>
      </c>
      <c r="E100" s="37">
        <v>600</v>
      </c>
      <c r="F100" s="37">
        <v>600</v>
      </c>
      <c r="G100" s="37">
        <v>600</v>
      </c>
      <c r="H100" s="37">
        <v>600</v>
      </c>
      <c r="I100" s="37">
        <v>600</v>
      </c>
      <c r="J100" s="37">
        <v>600</v>
      </c>
      <c r="K100" s="37">
        <v>600</v>
      </c>
      <c r="L100" s="37">
        <v>600</v>
      </c>
      <c r="M100" s="37">
        <v>600</v>
      </c>
      <c r="N100" s="37">
        <v>600</v>
      </c>
      <c r="O100" s="37">
        <v>600</v>
      </c>
      <c r="P100" s="37">
        <v>600</v>
      </c>
      <c r="Q100">
        <f t="shared" si="28"/>
        <v>7200</v>
      </c>
      <c r="R100" s="16">
        <f t="shared" si="29"/>
        <v>2.6941454006581384E-3</v>
      </c>
    </row>
    <row r="101" spans="1:18">
      <c r="A101" s="4"/>
      <c r="B101" s="6" t="s">
        <v>109</v>
      </c>
      <c r="E101" s="37">
        <v>350</v>
      </c>
      <c r="F101" s="37">
        <v>350</v>
      </c>
      <c r="G101" s="37">
        <v>350</v>
      </c>
      <c r="H101" s="37">
        <v>350</v>
      </c>
      <c r="I101" s="37">
        <v>350</v>
      </c>
      <c r="J101" s="37">
        <v>350</v>
      </c>
      <c r="K101" s="37">
        <v>350</v>
      </c>
      <c r="L101" s="37">
        <v>350</v>
      </c>
      <c r="M101" s="37">
        <v>350</v>
      </c>
      <c r="N101" s="37">
        <v>350</v>
      </c>
      <c r="O101" s="37">
        <v>350</v>
      </c>
      <c r="P101" s="37">
        <v>350</v>
      </c>
      <c r="Q101">
        <f t="shared" si="28"/>
        <v>4200</v>
      </c>
      <c r="R101" s="16">
        <f t="shared" si="29"/>
        <v>1.5715848170505808E-3</v>
      </c>
    </row>
    <row r="102" spans="1:18">
      <c r="A102" s="4"/>
      <c r="E102" s="9"/>
      <c r="F102" s="9"/>
      <c r="G102" s="9"/>
      <c r="H102" s="9"/>
      <c r="I102" s="9"/>
      <c r="J102" s="9"/>
      <c r="K102" s="9"/>
      <c r="L102" s="9"/>
      <c r="M102" s="9"/>
      <c r="N102" s="9"/>
      <c r="O102" s="9"/>
      <c r="P102" s="9"/>
      <c r="Q102" s="9"/>
      <c r="R102" s="9"/>
    </row>
    <row r="103" spans="1:18">
      <c r="A103" s="4"/>
      <c r="C103" s="6" t="s">
        <v>110</v>
      </c>
      <c r="E103" s="9">
        <f t="shared" ref="E103:Q103" si="31">SUM(E86:E102)</f>
        <v>37738.709090909091</v>
      </c>
      <c r="F103" s="9">
        <f t="shared" si="31"/>
        <v>38778.254545454547</v>
      </c>
      <c r="G103" s="9">
        <f t="shared" si="31"/>
        <v>37738.709090909091</v>
      </c>
      <c r="H103" s="9">
        <f t="shared" si="31"/>
        <v>37738.709090909091</v>
      </c>
      <c r="I103" s="9">
        <f t="shared" si="31"/>
        <v>38778.254545454547</v>
      </c>
      <c r="J103" s="9">
        <f t="shared" si="31"/>
        <v>37738.709090909091</v>
      </c>
      <c r="K103" s="9">
        <f t="shared" si="31"/>
        <v>37738.709090909091</v>
      </c>
      <c r="L103" s="9">
        <f t="shared" si="31"/>
        <v>38778.254545454547</v>
      </c>
      <c r="M103" s="9">
        <f t="shared" si="31"/>
        <v>37738.709090909091</v>
      </c>
      <c r="N103" s="9">
        <f t="shared" si="31"/>
        <v>37738.709090909091</v>
      </c>
      <c r="O103" s="9">
        <f t="shared" si="31"/>
        <v>38778.254545454547</v>
      </c>
      <c r="P103" s="9">
        <f t="shared" si="31"/>
        <v>37738.709090909091</v>
      </c>
      <c r="Q103" s="9">
        <f t="shared" si="31"/>
        <v>457022.69090909092</v>
      </c>
      <c r="R103" s="18">
        <f>Q103/$Q$70</f>
        <v>0.17101188620960187</v>
      </c>
    </row>
    <row r="104" spans="1:18">
      <c r="A104" s="4"/>
    </row>
    <row r="105" spans="1:18">
      <c r="A105" s="1" t="s">
        <v>111</v>
      </c>
      <c r="E105" s="9">
        <f t="shared" ref="E105:Q105" si="32">E83-E103</f>
        <v>52536.471999271991</v>
      </c>
      <c r="F105" s="9">
        <f t="shared" si="32"/>
        <v>62938.697861497843</v>
      </c>
      <c r="G105" s="9">
        <f t="shared" si="32"/>
        <v>54057.99352079352</v>
      </c>
      <c r="H105" s="9">
        <f t="shared" si="32"/>
        <v>54778.71424151423</v>
      </c>
      <c r="I105" s="9">
        <f t="shared" si="32"/>
        <v>65180.940103740082</v>
      </c>
      <c r="J105" s="9">
        <f t="shared" si="32"/>
        <v>56300.235763035758</v>
      </c>
      <c r="K105" s="9">
        <f t="shared" si="32"/>
        <v>57020.956483756498</v>
      </c>
      <c r="L105" s="9">
        <f t="shared" si="32"/>
        <v>67423.182345982321</v>
      </c>
      <c r="M105" s="9">
        <f t="shared" si="32"/>
        <v>58542.478005277997</v>
      </c>
      <c r="N105" s="9">
        <f t="shared" si="32"/>
        <v>59263.198725998736</v>
      </c>
      <c r="O105" s="9">
        <f t="shared" si="32"/>
        <v>69665.42458822456</v>
      </c>
      <c r="P105" s="9">
        <f t="shared" si="32"/>
        <v>60784.720247520236</v>
      </c>
      <c r="Q105" s="9">
        <f t="shared" si="32"/>
        <v>718493.013886614</v>
      </c>
      <c r="R105" s="18">
        <f>Q105/$Q$70</f>
        <v>0.26885064566217015</v>
      </c>
    </row>
    <row r="106" spans="1:18">
      <c r="A106" s="4"/>
    </row>
    <row r="107" spans="1:18" ht="10.9" thickBot="1">
      <c r="A107" s="1" t="s">
        <v>112</v>
      </c>
      <c r="E107" s="20">
        <f>+E105</f>
        <v>52536.471999271991</v>
      </c>
      <c r="F107" s="20">
        <f>+E107+F105</f>
        <v>115475.16986076983</v>
      </c>
      <c r="G107" s="20">
        <f t="shared" ref="G107:P107" si="33">+F107+G105</f>
        <v>169533.16338156335</v>
      </c>
      <c r="H107" s="20">
        <f t="shared" si="33"/>
        <v>224311.8776230776</v>
      </c>
      <c r="I107" s="20">
        <f t="shared" si="33"/>
        <v>289492.81772681768</v>
      </c>
      <c r="J107" s="20">
        <f t="shared" si="33"/>
        <v>345793.05348985345</v>
      </c>
      <c r="K107" s="20">
        <f t="shared" si="33"/>
        <v>402814.00997360994</v>
      </c>
      <c r="L107" s="20">
        <f t="shared" si="33"/>
        <v>470237.19231959223</v>
      </c>
      <c r="M107" s="20">
        <f t="shared" si="33"/>
        <v>528779.67032487027</v>
      </c>
      <c r="N107" s="20">
        <f t="shared" si="33"/>
        <v>588042.86905086902</v>
      </c>
      <c r="O107" s="20">
        <f t="shared" si="33"/>
        <v>657708.29363909364</v>
      </c>
      <c r="P107" s="20">
        <f t="shared" si="33"/>
        <v>718493.01388661389</v>
      </c>
    </row>
    <row r="108" spans="1:18" ht="10.9" thickTop="1"/>
    <row r="109" spans="1:18" ht="12.6">
      <c r="M109" s="22"/>
    </row>
    <row r="110" spans="1:18" ht="12.6">
      <c r="M110" s="22"/>
    </row>
    <row r="111" spans="1:18" ht="12.6">
      <c r="M111" s="22"/>
    </row>
    <row r="112" spans="1:18" ht="10.5" customHeight="1">
      <c r="M112" s="22"/>
    </row>
    <row r="113" spans="13:13" ht="12.6">
      <c r="M113" s="22"/>
    </row>
    <row r="114" spans="13:13" ht="10.5" customHeight="1">
      <c r="M114" s="22"/>
    </row>
    <row r="115" spans="13:13" ht="12.6">
      <c r="M115" s="22"/>
    </row>
    <row r="116" spans="13:13" ht="12.6">
      <c r="M116" s="22"/>
    </row>
    <row r="117" spans="13:13" ht="12.6">
      <c r="M117" s="22"/>
    </row>
    <row r="118" spans="13:13" ht="12.6">
      <c r="M118" s="22"/>
    </row>
    <row r="119" spans="13:13" ht="12.6">
      <c r="M119" s="22"/>
    </row>
    <row r="120" spans="13:13" ht="12.6">
      <c r="M120" s="22"/>
    </row>
    <row r="121" spans="13:13" ht="12.6">
      <c r="M121" s="22"/>
    </row>
    <row r="122" spans="13:13" ht="12.6">
      <c r="M122" s="22"/>
    </row>
    <row r="123" spans="13:13" ht="12.6">
      <c r="M123" s="22"/>
    </row>
    <row r="124" spans="13:13" ht="12.6">
      <c r="M124" s="22"/>
    </row>
    <row r="125" spans="13:13" ht="12.6">
      <c r="M125" s="22"/>
    </row>
    <row r="126" spans="13:13" ht="12.6">
      <c r="M126" s="22"/>
    </row>
    <row r="127" spans="13:13" ht="12.6">
      <c r="M127" s="22"/>
    </row>
    <row r="128" spans="13:13" ht="12.6">
      <c r="M128" s="22"/>
    </row>
    <row r="129" spans="13:13" ht="12.6">
      <c r="M129" s="22"/>
    </row>
    <row r="130" spans="13:13" ht="12.6">
      <c r="M130" s="22"/>
    </row>
    <row r="131" spans="13:13" ht="12.6">
      <c r="M131" s="22"/>
    </row>
    <row r="132" spans="13:13" ht="12.6">
      <c r="M132" s="22"/>
    </row>
    <row r="133" spans="13:13" ht="12.6">
      <c r="M133" s="22"/>
    </row>
    <row r="134" spans="13:13" ht="12.6">
      <c r="M134" s="22"/>
    </row>
    <row r="135" spans="13:13" ht="12.6">
      <c r="M135" s="22"/>
    </row>
    <row r="136" spans="13:13" ht="12.6">
      <c r="M136" s="22"/>
    </row>
    <row r="137" spans="13:13" ht="12.6">
      <c r="M137" s="22"/>
    </row>
    <row r="138" spans="13:13" ht="12.6">
      <c r="M138" s="22"/>
    </row>
    <row r="139" spans="13:13" ht="12.6">
      <c r="M139" s="22"/>
    </row>
    <row r="140" spans="13:13" ht="12.6">
      <c r="M140" s="22"/>
    </row>
    <row r="141" spans="13:13" ht="12.6">
      <c r="M141" s="22"/>
    </row>
    <row r="142" spans="13:13" ht="12.6">
      <c r="M142" s="22"/>
    </row>
    <row r="143" spans="13:13" ht="12.6">
      <c r="M143" s="22"/>
    </row>
    <row r="144" spans="13:13" ht="12.6">
      <c r="M144" s="22"/>
    </row>
    <row r="145" spans="13:13" ht="12.6">
      <c r="M145" s="22"/>
    </row>
    <row r="146" spans="13:13" ht="12.6">
      <c r="M146" s="22"/>
    </row>
    <row r="147" spans="13:13" ht="12.6">
      <c r="M147" s="22"/>
    </row>
    <row r="148" spans="13:13" ht="12.6">
      <c r="M148" s="22"/>
    </row>
    <row r="149" spans="13:13" ht="12.6">
      <c r="M149" s="22"/>
    </row>
    <row r="150" spans="13:13" ht="12.6">
      <c r="M150" s="22"/>
    </row>
    <row r="151" spans="13:13" ht="12.6">
      <c r="M151" s="22"/>
    </row>
    <row r="152" spans="13:13" ht="12.6">
      <c r="M152" s="22"/>
    </row>
    <row r="153" spans="13:13" ht="12.6">
      <c r="M153" s="22"/>
    </row>
    <row r="154" spans="13:13" ht="12.6">
      <c r="M154" s="22"/>
    </row>
    <row r="155" spans="13:13" ht="12.6">
      <c r="M155" s="22"/>
    </row>
    <row r="156" spans="13:13" ht="12.6">
      <c r="M156" s="22"/>
    </row>
    <row r="157" spans="13:13" ht="12.6">
      <c r="M157" s="22"/>
    </row>
    <row r="158" spans="13:13" ht="12.6">
      <c r="M158" s="22"/>
    </row>
    <row r="159" spans="13:13" ht="12.6">
      <c r="M159" s="22"/>
    </row>
    <row r="160" spans="13:13" ht="12.6">
      <c r="M160" s="22"/>
    </row>
    <row r="161" spans="1:13" ht="12.6">
      <c r="M161" s="22"/>
    </row>
    <row r="162" spans="1:13" ht="15.6">
      <c r="A162" s="21"/>
      <c r="B162" s="21"/>
      <c r="C162" s="21"/>
      <c r="D162" s="21"/>
      <c r="E162" s="21"/>
      <c r="F162" s="21"/>
      <c r="G162" s="21"/>
      <c r="H162" s="21"/>
      <c r="I162" s="21"/>
      <c r="J162" s="21"/>
      <c r="K162" s="21"/>
      <c r="L162" s="21"/>
      <c r="M162" s="22"/>
    </row>
    <row r="163" spans="1:13" ht="15.6">
      <c r="A163" s="21"/>
      <c r="B163" s="21"/>
      <c r="C163" s="21"/>
      <c r="D163" s="21"/>
      <c r="E163" s="21"/>
      <c r="F163" s="21"/>
      <c r="G163" s="21"/>
      <c r="H163" s="21"/>
      <c r="I163" s="21"/>
      <c r="J163" s="21"/>
      <c r="K163" s="21"/>
      <c r="L163" s="21"/>
      <c r="M163" s="22"/>
    </row>
    <row r="164" spans="1:13" ht="15.6">
      <c r="A164" s="21"/>
      <c r="B164" s="21"/>
      <c r="C164" s="21"/>
      <c r="D164" s="21"/>
      <c r="E164" s="21"/>
      <c r="F164" s="21"/>
      <c r="G164" s="21"/>
      <c r="H164" s="21"/>
      <c r="I164" s="21"/>
      <c r="J164" s="21"/>
      <c r="K164" s="21"/>
      <c r="L164" s="21"/>
      <c r="M164" s="22"/>
    </row>
    <row r="165" spans="1:13" ht="15.6">
      <c r="A165" s="21"/>
      <c r="B165" s="21"/>
      <c r="C165" s="21"/>
      <c r="D165" s="21"/>
      <c r="E165" s="21"/>
      <c r="F165" s="21"/>
      <c r="G165" s="21"/>
      <c r="H165" s="21"/>
      <c r="I165" s="21"/>
      <c r="J165" s="21"/>
      <c r="K165" s="21"/>
      <c r="L165" s="21"/>
      <c r="M165" s="22"/>
    </row>
    <row r="166" spans="1:13" ht="15.6">
      <c r="A166" s="21"/>
      <c r="B166" s="21"/>
      <c r="C166" s="21"/>
      <c r="D166" s="21"/>
      <c r="E166" s="21"/>
      <c r="F166" s="21"/>
      <c r="G166" s="21"/>
      <c r="H166" s="21"/>
      <c r="I166" s="21"/>
      <c r="J166" s="21"/>
      <c r="K166" s="21"/>
      <c r="L166" s="21"/>
      <c r="M166" s="22"/>
    </row>
    <row r="167" spans="1:13" ht="15.6">
      <c r="A167" s="21"/>
      <c r="B167" s="21"/>
      <c r="C167" s="21"/>
      <c r="D167" s="21"/>
      <c r="E167" s="21"/>
      <c r="F167" s="21"/>
      <c r="G167" s="21"/>
      <c r="H167" s="21"/>
      <c r="I167" s="21"/>
      <c r="J167" s="21"/>
      <c r="K167" s="21"/>
      <c r="L167" s="21"/>
      <c r="M167" s="22"/>
    </row>
    <row r="168" spans="1:13" ht="15.6">
      <c r="A168" s="21"/>
      <c r="B168" s="21"/>
      <c r="C168" s="21"/>
      <c r="D168" s="21"/>
      <c r="E168" s="21"/>
      <c r="F168" s="21"/>
      <c r="G168" s="21"/>
      <c r="H168" s="21"/>
      <c r="I168" s="21"/>
      <c r="J168" s="21"/>
      <c r="K168" s="21"/>
      <c r="L168" s="21"/>
      <c r="M168" s="22"/>
    </row>
    <row r="169" spans="1:13" ht="15.6">
      <c r="A169" s="21"/>
      <c r="B169" s="21"/>
      <c r="C169" s="21"/>
      <c r="D169" s="21"/>
      <c r="E169" s="21"/>
      <c r="F169" s="21"/>
      <c r="G169" s="21"/>
      <c r="H169" s="21"/>
      <c r="I169" s="21"/>
      <c r="J169" s="21"/>
      <c r="K169" s="21"/>
      <c r="L169" s="21"/>
      <c r="M169" s="22"/>
    </row>
    <row r="170" spans="1:13" ht="15.6">
      <c r="A170" s="21"/>
      <c r="B170" s="21"/>
      <c r="C170" s="21"/>
      <c r="D170" s="21"/>
      <c r="E170" s="21"/>
      <c r="F170" s="21"/>
      <c r="G170" s="21"/>
      <c r="H170" s="21"/>
      <c r="I170" s="21"/>
      <c r="J170" s="21"/>
      <c r="K170" s="21"/>
      <c r="L170" s="21"/>
      <c r="M170" s="22"/>
    </row>
    <row r="171" spans="1:13" ht="15.6">
      <c r="A171" s="21"/>
      <c r="B171" s="21"/>
      <c r="C171" s="21"/>
      <c r="D171" s="21"/>
      <c r="E171" s="21"/>
      <c r="F171" s="21"/>
      <c r="G171" s="21"/>
      <c r="H171" s="21"/>
      <c r="I171" s="21"/>
      <c r="J171" s="21"/>
      <c r="K171" s="21"/>
      <c r="L171" s="21"/>
      <c r="M171" s="22"/>
    </row>
    <row r="172" spans="1:13" ht="15.6">
      <c r="A172" s="21"/>
      <c r="B172" s="21"/>
      <c r="C172" s="21"/>
      <c r="D172" s="21"/>
      <c r="E172" s="21"/>
      <c r="F172" s="21"/>
      <c r="G172" s="21"/>
      <c r="H172" s="21"/>
      <c r="I172" s="21"/>
      <c r="J172" s="21"/>
      <c r="K172" s="21"/>
      <c r="L172" s="21"/>
      <c r="M172" s="22"/>
    </row>
    <row r="173" spans="1:13" ht="15.6">
      <c r="A173" s="21"/>
      <c r="B173" s="21"/>
      <c r="C173" s="21"/>
      <c r="D173" s="21"/>
      <c r="E173" s="21"/>
      <c r="F173" s="21"/>
      <c r="G173" s="21"/>
      <c r="H173" s="21"/>
      <c r="I173" s="21"/>
      <c r="J173" s="21"/>
      <c r="K173" s="21"/>
      <c r="L173" s="21"/>
      <c r="M173" s="22"/>
    </row>
    <row r="174" spans="1:13" ht="15.6">
      <c r="A174" s="21"/>
      <c r="B174" s="21"/>
      <c r="C174" s="21"/>
      <c r="D174" s="21"/>
      <c r="E174" s="21"/>
      <c r="F174" s="21"/>
      <c r="G174" s="21"/>
      <c r="H174" s="21"/>
      <c r="I174" s="21"/>
      <c r="J174" s="21"/>
      <c r="K174" s="21"/>
      <c r="L174" s="21"/>
      <c r="M174" s="22"/>
    </row>
    <row r="175" spans="1:13" ht="15.6">
      <c r="A175" s="21"/>
      <c r="B175" s="21"/>
      <c r="C175" s="21"/>
      <c r="D175" s="21"/>
      <c r="E175" s="21"/>
      <c r="F175" s="21"/>
      <c r="G175" s="21"/>
      <c r="H175" s="21"/>
      <c r="I175" s="21"/>
      <c r="J175" s="21"/>
      <c r="K175" s="21"/>
      <c r="L175" s="21"/>
      <c r="M175" s="22"/>
    </row>
    <row r="176" spans="1:13" ht="15.6">
      <c r="A176" s="21"/>
      <c r="B176" s="21"/>
      <c r="C176" s="21"/>
      <c r="D176" s="21"/>
      <c r="E176" s="21"/>
      <c r="F176" s="21"/>
      <c r="G176" s="21"/>
      <c r="H176" s="21"/>
      <c r="I176" s="21"/>
      <c r="J176" s="21"/>
      <c r="K176" s="21"/>
      <c r="L176" s="21"/>
      <c r="M176" s="22"/>
    </row>
    <row r="177" spans="1:13" ht="15.6">
      <c r="A177" s="21"/>
      <c r="B177" s="21"/>
      <c r="C177" s="21"/>
      <c r="D177" s="21"/>
      <c r="E177" s="21"/>
      <c r="F177" s="21"/>
      <c r="G177" s="21"/>
      <c r="H177" s="21"/>
      <c r="I177" s="21"/>
      <c r="J177" s="21"/>
      <c r="K177" s="21"/>
      <c r="L177" s="21"/>
      <c r="M177" s="22"/>
    </row>
    <row r="178" spans="1:13" ht="15.6">
      <c r="A178" s="21"/>
      <c r="B178" s="21"/>
      <c r="C178" s="21"/>
      <c r="D178" s="21"/>
      <c r="E178" s="21"/>
      <c r="F178" s="21"/>
      <c r="G178" s="21"/>
      <c r="H178" s="21"/>
      <c r="I178" s="21"/>
      <c r="J178" s="21"/>
      <c r="K178" s="21"/>
      <c r="L178" s="21"/>
      <c r="M178" s="22"/>
    </row>
    <row r="179" spans="1:13" ht="15.6">
      <c r="A179" s="21"/>
      <c r="B179" s="21"/>
      <c r="C179" s="21"/>
      <c r="D179" s="21"/>
      <c r="E179" s="21"/>
      <c r="F179" s="21"/>
      <c r="G179" s="21"/>
      <c r="H179" s="21"/>
      <c r="I179" s="21"/>
      <c r="J179" s="21"/>
      <c r="K179" s="21"/>
      <c r="L179" s="21"/>
      <c r="M179" s="22"/>
    </row>
    <row r="180" spans="1:13" ht="15.6">
      <c r="A180" s="21"/>
      <c r="B180" s="21"/>
      <c r="C180" s="21"/>
      <c r="D180" s="21"/>
      <c r="E180" s="21"/>
      <c r="F180" s="21"/>
      <c r="G180" s="21"/>
      <c r="H180" s="21"/>
      <c r="I180" s="21"/>
      <c r="J180" s="21"/>
      <c r="K180" s="21"/>
      <c r="L180" s="21"/>
      <c r="M180" s="22"/>
    </row>
    <row r="181" spans="1:13" ht="15.6">
      <c r="A181" s="21"/>
      <c r="B181" s="21"/>
      <c r="C181" s="21"/>
      <c r="D181" s="21"/>
      <c r="E181" s="21"/>
      <c r="F181" s="21"/>
      <c r="G181" s="21"/>
      <c r="H181" s="21"/>
      <c r="I181" s="21"/>
      <c r="J181" s="21"/>
      <c r="K181" s="21"/>
      <c r="L181" s="21"/>
    </row>
    <row r="182" spans="1:13" ht="15.6">
      <c r="A182" s="21"/>
      <c r="B182" s="21"/>
      <c r="C182" s="21"/>
      <c r="D182" s="21"/>
      <c r="E182" s="21"/>
      <c r="F182" s="21"/>
      <c r="G182" s="21"/>
      <c r="H182" s="21"/>
      <c r="I182" s="21"/>
      <c r="J182" s="21"/>
      <c r="K182" s="21"/>
      <c r="L182" s="21"/>
    </row>
    <row r="183" spans="1:13" ht="15.6">
      <c r="A183" s="21"/>
      <c r="B183" s="21"/>
      <c r="C183" s="21"/>
      <c r="D183" s="21"/>
      <c r="E183" s="21"/>
      <c r="F183" s="21"/>
      <c r="G183" s="21"/>
      <c r="H183" s="21"/>
      <c r="I183" s="21"/>
      <c r="J183" s="21"/>
      <c r="K183" s="21"/>
      <c r="L183" s="21"/>
    </row>
    <row r="184" spans="1:13" ht="15.6">
      <c r="A184" s="21"/>
      <c r="B184" s="21"/>
      <c r="C184" s="21"/>
      <c r="D184" s="21"/>
      <c r="E184" s="21"/>
      <c r="F184" s="21"/>
      <c r="G184" s="21"/>
      <c r="H184" s="21"/>
      <c r="I184" s="21"/>
      <c r="J184" s="21"/>
      <c r="K184" s="21"/>
      <c r="L184" s="21"/>
    </row>
    <row r="185" spans="1:13" ht="15.6">
      <c r="A185" s="21"/>
      <c r="B185" s="21"/>
      <c r="C185" s="21"/>
      <c r="D185" s="21"/>
      <c r="E185" s="21"/>
      <c r="F185" s="21"/>
      <c r="G185" s="21"/>
      <c r="H185" s="21"/>
      <c r="I185" s="21"/>
      <c r="J185" s="21"/>
      <c r="K185" s="21"/>
      <c r="L185" s="21"/>
    </row>
    <row r="186" spans="1:13" ht="15.6">
      <c r="A186" s="21"/>
      <c r="B186" s="21"/>
      <c r="C186" s="21"/>
      <c r="D186" s="21"/>
      <c r="E186" s="21"/>
      <c r="F186" s="21"/>
      <c r="G186" s="21"/>
      <c r="H186" s="21"/>
      <c r="I186" s="21"/>
      <c r="J186" s="21"/>
      <c r="K186" s="21"/>
      <c r="L186" s="21"/>
    </row>
    <row r="187" spans="1:13" ht="15.6">
      <c r="A187" s="21"/>
      <c r="B187" s="21"/>
      <c r="C187" s="21"/>
      <c r="D187" s="21"/>
      <c r="E187" s="21"/>
      <c r="F187" s="21"/>
      <c r="G187" s="21"/>
      <c r="H187" s="21"/>
      <c r="I187" s="21"/>
      <c r="J187" s="21"/>
      <c r="K187" s="21"/>
      <c r="L187" s="21"/>
    </row>
    <row r="188" spans="1:13" ht="15.6">
      <c r="A188" s="21"/>
      <c r="B188" s="21"/>
      <c r="C188" s="21"/>
      <c r="D188" s="21"/>
      <c r="E188" s="21"/>
      <c r="F188" s="21"/>
      <c r="G188" s="21"/>
      <c r="H188" s="21"/>
      <c r="I188" s="21"/>
      <c r="J188" s="21"/>
      <c r="K188" s="21"/>
      <c r="L188" s="21"/>
    </row>
    <row r="189" spans="1:13" ht="15.6">
      <c r="A189" s="21"/>
      <c r="B189" s="21"/>
      <c r="C189" s="21"/>
      <c r="D189" s="21"/>
      <c r="E189" s="21"/>
      <c r="F189" s="21"/>
      <c r="G189" s="21"/>
      <c r="H189" s="21"/>
      <c r="I189" s="21"/>
      <c r="J189" s="21"/>
      <c r="K189" s="21"/>
      <c r="L189" s="21"/>
    </row>
    <row r="190" spans="1:13" ht="15.6">
      <c r="A190" s="21"/>
      <c r="B190" s="21"/>
      <c r="C190" s="21"/>
      <c r="D190" s="21"/>
      <c r="E190" s="21"/>
      <c r="F190" s="21"/>
      <c r="G190" s="21"/>
      <c r="H190" s="21"/>
      <c r="I190" s="21"/>
      <c r="J190" s="21"/>
      <c r="K190" s="21"/>
      <c r="L190" s="21"/>
    </row>
    <row r="191" spans="1:13" ht="15.6">
      <c r="A191" s="21"/>
      <c r="B191" s="21"/>
      <c r="C191" s="21"/>
      <c r="D191" s="21"/>
      <c r="E191" s="21"/>
      <c r="F191" s="21"/>
      <c r="G191" s="21"/>
      <c r="H191" s="21"/>
      <c r="I191" s="21"/>
      <c r="J191" s="21"/>
      <c r="K191" s="21"/>
      <c r="L191" s="21"/>
    </row>
    <row r="192" spans="1:13" ht="15.6">
      <c r="A192" s="21"/>
      <c r="B192" s="21"/>
      <c r="C192" s="21"/>
      <c r="D192" s="21"/>
      <c r="E192" s="21"/>
      <c r="F192" s="21"/>
      <c r="G192" s="21"/>
      <c r="H192" s="21"/>
      <c r="I192" s="21"/>
      <c r="J192" s="21"/>
      <c r="K192" s="21"/>
      <c r="L192" s="21"/>
    </row>
    <row r="193" spans="1:12" ht="15.6">
      <c r="A193" s="21"/>
      <c r="B193" s="21"/>
      <c r="C193" s="21"/>
      <c r="D193" s="21"/>
      <c r="E193" s="21"/>
      <c r="F193" s="21"/>
      <c r="G193" s="21"/>
      <c r="H193" s="21"/>
      <c r="I193" s="21"/>
      <c r="J193" s="21"/>
      <c r="K193" s="21"/>
      <c r="L193" s="21"/>
    </row>
    <row r="194" spans="1:12" ht="15.6">
      <c r="A194" s="21"/>
      <c r="B194" s="21"/>
      <c r="C194" s="21"/>
      <c r="D194" s="21"/>
      <c r="E194" s="21"/>
      <c r="F194" s="21"/>
      <c r="G194" s="21"/>
      <c r="H194" s="21"/>
      <c r="I194" s="21"/>
      <c r="J194" s="21"/>
      <c r="K194" s="21"/>
      <c r="L194" s="21"/>
    </row>
    <row r="195" spans="1:12" ht="15.6">
      <c r="A195" s="21"/>
      <c r="B195" s="21"/>
      <c r="C195" s="21"/>
      <c r="D195" s="21"/>
      <c r="E195" s="21"/>
      <c r="F195" s="21"/>
      <c r="G195" s="21"/>
      <c r="H195" s="21"/>
      <c r="I195" s="21"/>
      <c r="J195" s="21"/>
      <c r="K195" s="21"/>
      <c r="L195" s="21"/>
    </row>
    <row r="196" spans="1:12" ht="15.6">
      <c r="A196" s="21"/>
      <c r="B196" s="21"/>
      <c r="C196" s="21"/>
      <c r="D196" s="21"/>
      <c r="E196" s="21"/>
      <c r="F196" s="21"/>
      <c r="G196" s="21"/>
      <c r="H196" s="21"/>
      <c r="I196" s="21"/>
      <c r="J196" s="21"/>
      <c r="K196" s="21"/>
      <c r="L196" s="21"/>
    </row>
    <row r="197" spans="1:12" ht="15.6">
      <c r="A197" s="21"/>
      <c r="B197" s="21"/>
      <c r="C197" s="21"/>
      <c r="D197" s="21"/>
      <c r="E197" s="21"/>
      <c r="F197" s="21"/>
      <c r="G197" s="21"/>
      <c r="H197" s="21"/>
      <c r="I197" s="21"/>
      <c r="J197" s="21"/>
      <c r="K197" s="21"/>
      <c r="L197" s="21"/>
    </row>
    <row r="198" spans="1:12" ht="15.6">
      <c r="A198" s="21"/>
      <c r="B198" s="21"/>
      <c r="C198" s="21"/>
      <c r="D198" s="21"/>
      <c r="E198" s="21"/>
      <c r="F198" s="21"/>
      <c r="G198" s="21"/>
      <c r="H198" s="21"/>
      <c r="I198" s="21"/>
      <c r="J198" s="21"/>
      <c r="K198" s="21"/>
      <c r="L198" s="21"/>
    </row>
    <row r="199" spans="1:12" ht="15.6">
      <c r="A199" s="21"/>
      <c r="B199" s="21"/>
      <c r="C199" s="21"/>
      <c r="D199" s="21"/>
      <c r="E199" s="21"/>
      <c r="F199" s="21"/>
      <c r="G199" s="21"/>
      <c r="H199" s="21"/>
      <c r="I199" s="21"/>
      <c r="J199" s="21"/>
      <c r="K199" s="21"/>
      <c r="L199" s="21"/>
    </row>
  </sheetData>
  <sheetProtection selectLockedCells="1"/>
  <phoneticPr fontId="5" type="noConversion"/>
  <pageMargins left="0.25" right="0.25" top="0.75" bottom="0.5" header="0.5" footer="0.5"/>
  <pageSetup scale="90" orientation="landscape" useFirstPageNumber="1" horizontalDpi="300" verticalDpi="300" r:id="rId1"/>
  <headerFooter alignWithMargins="0"/>
  <rowBreaks count="2" manualBreakCount="2">
    <brk id="54" max="16383" man="1"/>
    <brk id="1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8"/>
  <sheetViews>
    <sheetView workbookViewId="0">
      <selection activeCell="D5" sqref="D5"/>
    </sheetView>
  </sheetViews>
  <sheetFormatPr defaultColWidth="9.33203125" defaultRowHeight="15.6"/>
  <cols>
    <col min="1" max="1" width="5.33203125" style="21" customWidth="1"/>
    <col min="2" max="2" width="36.6640625" style="21" customWidth="1"/>
    <col min="3" max="5" width="13.33203125" style="21" customWidth="1"/>
    <col min="6" max="6" width="14.5" style="21" customWidth="1"/>
    <col min="7" max="7" width="14.83203125" style="21" customWidth="1"/>
    <col min="8" max="16384" width="9.33203125" style="21"/>
  </cols>
  <sheetData>
    <row r="1" spans="1:7">
      <c r="A1" s="77" t="s">
        <v>113</v>
      </c>
    </row>
    <row r="3" spans="1:7" ht="16.149999999999999" thickBot="1">
      <c r="C3" s="81" t="s">
        <v>114</v>
      </c>
      <c r="D3" s="81" t="s">
        <v>115</v>
      </c>
      <c r="E3" s="81" t="s">
        <v>116</v>
      </c>
      <c r="F3" s="81" t="s">
        <v>117</v>
      </c>
      <c r="G3" s="81" t="s">
        <v>72</v>
      </c>
    </row>
    <row r="4" spans="1:7" ht="8.25" customHeight="1">
      <c r="C4" s="80"/>
    </row>
    <row r="5" spans="1:7">
      <c r="A5" s="77" t="s">
        <v>77</v>
      </c>
      <c r="C5" s="21">
        <f>+SUM('Busines Plan'!E16:G16)</f>
        <v>137164.43716443714</v>
      </c>
      <c r="D5" s="21">
        <f>SUM('Busines Plan'!H16:J16)</f>
        <v>390407.68040768034</v>
      </c>
      <c r="E5" s="21">
        <f>SUM('Busines Plan'!K16:M16)</f>
        <v>520452.72545272543</v>
      </c>
      <c r="F5" s="21">
        <f>SUM('Busines Plan'!N16:P16)</f>
        <v>605924.10592410585</v>
      </c>
      <c r="G5" s="21">
        <f>SUM(C5:F5)</f>
        <v>1653948.9489489486</v>
      </c>
    </row>
    <row r="6" spans="1:7">
      <c r="A6" s="77"/>
    </row>
    <row r="7" spans="1:7" ht="16.149999999999999" thickBot="1">
      <c r="A7" s="77" t="s">
        <v>83</v>
      </c>
      <c r="C7" s="79">
        <f>SUM('Busines Plan'!E27:G27)</f>
        <v>87992.813267813268</v>
      </c>
      <c r="D7" s="79">
        <f>SUM('Busines Plan'!H27:J27)</f>
        <v>230532.13759213756</v>
      </c>
      <c r="E7" s="79">
        <f>SUM('Busines Plan'!K27:M27)</f>
        <v>303391.79975429975</v>
      </c>
      <c r="F7" s="79">
        <f>SUM('Busines Plan'!N27:P27)</f>
        <v>348398.85749385745</v>
      </c>
      <c r="G7" s="79">
        <f>SUM(C7:F7)</f>
        <v>970315.60810810793</v>
      </c>
    </row>
    <row r="8" spans="1:7">
      <c r="A8" s="77"/>
    </row>
    <row r="9" spans="1:7" ht="16.149999999999999" thickBot="1">
      <c r="A9" s="77" t="s">
        <v>92</v>
      </c>
      <c r="C9" s="79">
        <f>+C5-C7</f>
        <v>49171.623896623874</v>
      </c>
      <c r="D9" s="79">
        <f>+D5-D7</f>
        <v>159875.54281554278</v>
      </c>
      <c r="E9" s="79">
        <f>+E5-E7</f>
        <v>217060.92569842568</v>
      </c>
      <c r="F9" s="79">
        <f>+F5-F7</f>
        <v>257525.24843024841</v>
      </c>
      <c r="G9" s="79">
        <f>+G5-G7</f>
        <v>683633.34084084071</v>
      </c>
    </row>
    <row r="11" spans="1:7">
      <c r="A11" s="76" t="s">
        <v>93</v>
      </c>
      <c r="C11"/>
    </row>
    <row r="12" spans="1:7">
      <c r="A12" s="77"/>
      <c r="B12" s="78" t="s">
        <v>94</v>
      </c>
      <c r="C12" s="21">
        <f>SUM('Busines Plan'!E32:G32)</f>
        <v>2743.2887432887433</v>
      </c>
      <c r="D12" s="21">
        <f>SUM('Busines Plan'!H32:J32)</f>
        <v>7808.1536081536069</v>
      </c>
      <c r="E12" s="21">
        <f>SUM('Busines Plan'!K32:M32)</f>
        <v>10409.054509054509</v>
      </c>
      <c r="F12" s="21">
        <f>SUM('Busines Plan'!N32:P32)</f>
        <v>12118.482118482119</v>
      </c>
      <c r="G12" s="21">
        <f>SUM(C12:F12)</f>
        <v>33078.978978978979</v>
      </c>
    </row>
    <row r="13" spans="1:7">
      <c r="A13" s="77"/>
      <c r="B13" s="78" t="s">
        <v>95</v>
      </c>
      <c r="C13" s="21">
        <f>SUM('Busines Plan'!E33:G33)</f>
        <v>5400</v>
      </c>
      <c r="D13" s="21">
        <f>SUM('Busines Plan'!H33:J33)</f>
        <v>5400</v>
      </c>
      <c r="E13" s="21">
        <f>SUM('Busines Plan'!K33:M33)</f>
        <v>5400</v>
      </c>
      <c r="F13" s="21">
        <f>SUM('Busines Plan'!N33:P33)</f>
        <v>8100</v>
      </c>
      <c r="G13" s="21">
        <f t="shared" ref="G13:G27" si="0">SUM(C13:F13)</f>
        <v>24300</v>
      </c>
    </row>
    <row r="14" spans="1:7">
      <c r="A14" s="77"/>
      <c r="B14" s="78" t="s">
        <v>96</v>
      </c>
      <c r="C14" s="21">
        <f>SUM('Busines Plan'!E34:G34)</f>
        <v>450</v>
      </c>
      <c r="D14" s="21">
        <f>SUM('Busines Plan'!H34:J34)</f>
        <v>450</v>
      </c>
      <c r="E14" s="21">
        <f>SUM('Busines Plan'!K34:M34)</f>
        <v>450</v>
      </c>
      <c r="F14" s="21">
        <f>SUM('Busines Plan'!N34:P34)</f>
        <v>450</v>
      </c>
      <c r="G14" s="21">
        <f t="shared" si="0"/>
        <v>1800</v>
      </c>
    </row>
    <row r="15" spans="1:7">
      <c r="A15" s="77"/>
      <c r="B15" s="78" t="s">
        <v>97</v>
      </c>
      <c r="C15" s="21">
        <f>SUM('Busines Plan'!E35:G35)</f>
        <v>3150</v>
      </c>
      <c r="D15" s="21">
        <f>SUM('Busines Plan'!H35:J35)</f>
        <v>5100</v>
      </c>
      <c r="E15" s="21">
        <f>SUM('Busines Plan'!K35:M35)</f>
        <v>7350</v>
      </c>
      <c r="F15" s="21">
        <f>SUM('Busines Plan'!N35:P35)</f>
        <v>8250</v>
      </c>
      <c r="G15" s="21">
        <f t="shared" si="0"/>
        <v>23850</v>
      </c>
    </row>
    <row r="16" spans="1:7">
      <c r="A16" s="77"/>
      <c r="B16" s="78" t="s">
        <v>98</v>
      </c>
      <c r="C16" s="21">
        <f>SUM('Busines Plan'!E36:G36)</f>
        <v>1800</v>
      </c>
      <c r="D16" s="21">
        <f>SUM('Busines Plan'!H36:J36)</f>
        <v>1800</v>
      </c>
      <c r="E16" s="21">
        <f>SUM('Busines Plan'!K36:M36)</f>
        <v>1800</v>
      </c>
      <c r="F16" s="21">
        <f>SUM('Busines Plan'!N36:P36)</f>
        <v>1800</v>
      </c>
      <c r="G16" s="21">
        <f t="shared" si="0"/>
        <v>7200</v>
      </c>
    </row>
    <row r="17" spans="1:7">
      <c r="A17" s="77"/>
      <c r="B17" s="78" t="s">
        <v>99</v>
      </c>
      <c r="C17" s="21">
        <f>SUM('Busines Plan'!E37:G37)</f>
        <v>300</v>
      </c>
      <c r="D17" s="21">
        <f>SUM('Busines Plan'!H37:J37)</f>
        <v>300</v>
      </c>
      <c r="E17" s="21">
        <f>SUM('Busines Plan'!K37:M37)</f>
        <v>300</v>
      </c>
      <c r="F17" s="21">
        <f>SUM('Busines Plan'!N37:P37)</f>
        <v>300</v>
      </c>
      <c r="G17" s="21">
        <f t="shared" si="0"/>
        <v>1200</v>
      </c>
    </row>
    <row r="18" spans="1:7">
      <c r="A18" s="77"/>
      <c r="B18" s="78" t="s">
        <v>100</v>
      </c>
      <c r="C18" s="21">
        <f>SUM('Busines Plan'!E38:G38)</f>
        <v>750</v>
      </c>
      <c r="D18" s="21">
        <f>SUM('Busines Plan'!H38:J38)</f>
        <v>750</v>
      </c>
      <c r="E18" s="21">
        <f>SUM('Busines Plan'!K38:M38)</f>
        <v>750</v>
      </c>
      <c r="F18" s="21">
        <f>SUM('Busines Plan'!N38:P38)</f>
        <v>750</v>
      </c>
      <c r="G18" s="21">
        <f t="shared" si="0"/>
        <v>3000</v>
      </c>
    </row>
    <row r="19" spans="1:7">
      <c r="A19" s="77"/>
      <c r="B19" s="78" t="s">
        <v>101</v>
      </c>
      <c r="C19" s="21">
        <f>SUM('Busines Plan'!E39:G39)</f>
        <v>1200</v>
      </c>
      <c r="D19" s="21">
        <f>SUM('Busines Plan'!H39:J39)</f>
        <v>1200</v>
      </c>
      <c r="E19" s="21">
        <f>SUM('Busines Plan'!K39:M39)</f>
        <v>1200</v>
      </c>
      <c r="F19" s="21">
        <f>SUM('Busines Plan'!N39:P39)</f>
        <v>1200</v>
      </c>
      <c r="G19" s="21">
        <f t="shared" si="0"/>
        <v>4800</v>
      </c>
    </row>
    <row r="20" spans="1:7">
      <c r="A20" s="77"/>
      <c r="B20" s="78" t="s">
        <v>102</v>
      </c>
      <c r="C20" s="21">
        <f>SUM('Busines Plan'!E40:G40)</f>
        <v>7923.0000000000009</v>
      </c>
      <c r="D20" s="21">
        <f>SUM('Busines Plan'!H40:J40)</f>
        <v>15508.8</v>
      </c>
      <c r="E20" s="21">
        <f>SUM('Busines Plan'!K40:M40)</f>
        <v>20956.500000000004</v>
      </c>
      <c r="F20" s="21">
        <f>SUM('Busines Plan'!N40:P40)</f>
        <v>23376.6</v>
      </c>
      <c r="G20" s="21">
        <f t="shared" si="0"/>
        <v>67764.899999999994</v>
      </c>
    </row>
    <row r="21" spans="1:7">
      <c r="A21" s="77"/>
      <c r="B21" s="78" t="s">
        <v>103</v>
      </c>
      <c r="C21" s="21">
        <f>SUM('Busines Plan'!E41:G41)</f>
        <v>450</v>
      </c>
      <c r="D21" s="21">
        <f>SUM('Busines Plan'!H41:J41)</f>
        <v>450</v>
      </c>
      <c r="E21" s="21">
        <f>SUM('Busines Plan'!K41:M41)</f>
        <v>450</v>
      </c>
      <c r="F21" s="21">
        <f>SUM('Busines Plan'!N41:P41)</f>
        <v>450</v>
      </c>
      <c r="G21" s="21">
        <f t="shared" si="0"/>
        <v>1800</v>
      </c>
    </row>
    <row r="22" spans="1:7">
      <c r="A22" s="77"/>
      <c r="B22" s="78" t="s">
        <v>104</v>
      </c>
      <c r="C22" s="21">
        <f>SUM('Busines Plan'!E42:G42)</f>
        <v>7500</v>
      </c>
      <c r="D22" s="21">
        <f>SUM('Busines Plan'!H42:J42)</f>
        <v>7500</v>
      </c>
      <c r="E22" s="21">
        <f>SUM('Busines Plan'!K42:M42)</f>
        <v>7500</v>
      </c>
      <c r="F22" s="21">
        <f>SUM('Busines Plan'!N42:P42)</f>
        <v>7500</v>
      </c>
      <c r="G22" s="21">
        <f t="shared" si="0"/>
        <v>30000</v>
      </c>
    </row>
    <row r="23" spans="1:7">
      <c r="A23" s="77"/>
      <c r="B23" s="78" t="s">
        <v>105</v>
      </c>
      <c r="C23" s="21">
        <f>SUM('Busines Plan'!E43:G43)</f>
        <v>750</v>
      </c>
      <c r="D23" s="21">
        <f>SUM('Busines Plan'!H43:J43)</f>
        <v>750</v>
      </c>
      <c r="E23" s="21">
        <f>SUM('Busines Plan'!K43:M43)</f>
        <v>750</v>
      </c>
      <c r="F23" s="21">
        <f>SUM('Busines Plan'!N43:P43)</f>
        <v>750</v>
      </c>
      <c r="G23" s="21">
        <f t="shared" si="0"/>
        <v>3000</v>
      </c>
    </row>
    <row r="24" spans="1:7">
      <c r="A24" s="77"/>
      <c r="B24" s="78" t="s">
        <v>106</v>
      </c>
      <c r="C24" s="21">
        <f>SUM('Busines Plan'!E44:G44)</f>
        <v>21300</v>
      </c>
      <c r="D24" s="21">
        <f>SUM('Busines Plan'!H44:J44)</f>
        <v>21300</v>
      </c>
      <c r="E24" s="21">
        <f>SUM('Busines Plan'!K44:M44)</f>
        <v>33500</v>
      </c>
      <c r="F24" s="21">
        <f>SUM('Busines Plan'!N44:P44)</f>
        <v>33900</v>
      </c>
      <c r="G24" s="21">
        <f t="shared" si="0"/>
        <v>110000</v>
      </c>
    </row>
    <row r="25" spans="1:7">
      <c r="A25" s="77"/>
      <c r="B25" s="78" t="s">
        <v>107</v>
      </c>
      <c r="C25" s="21">
        <f>SUM('Busines Plan'!E45:G45)</f>
        <v>5250</v>
      </c>
      <c r="D25" s="21">
        <f>SUM('Busines Plan'!H45:J45)</f>
        <v>5250</v>
      </c>
      <c r="E25" s="21">
        <f>SUM('Busines Plan'!K45:M45)</f>
        <v>5250</v>
      </c>
      <c r="F25" s="21">
        <f>SUM('Busines Plan'!N45:P45)</f>
        <v>5250</v>
      </c>
      <c r="G25" s="21">
        <f t="shared" si="0"/>
        <v>21000</v>
      </c>
    </row>
    <row r="26" spans="1:7">
      <c r="A26" s="77"/>
      <c r="B26" s="78" t="s">
        <v>108</v>
      </c>
      <c r="C26" s="21">
        <f>SUM('Busines Plan'!E46:G46)</f>
        <v>1800</v>
      </c>
      <c r="D26" s="21">
        <f>SUM('Busines Plan'!H46:J46)</f>
        <v>1800</v>
      </c>
      <c r="E26" s="21">
        <f>SUM('Busines Plan'!K46:M46)</f>
        <v>1800</v>
      </c>
      <c r="F26" s="21">
        <f>SUM('Busines Plan'!N46:P46)</f>
        <v>1800</v>
      </c>
      <c r="G26" s="21">
        <f t="shared" si="0"/>
        <v>7200</v>
      </c>
    </row>
    <row r="27" spans="1:7" ht="16.149999999999999" thickBot="1">
      <c r="A27" s="77"/>
      <c r="B27" s="78" t="s">
        <v>109</v>
      </c>
      <c r="C27" s="79">
        <f>SUM('Busines Plan'!E47:G47)</f>
        <v>675</v>
      </c>
      <c r="D27" s="79">
        <f>SUM('Busines Plan'!H47:J47)</f>
        <v>675</v>
      </c>
      <c r="E27" s="79">
        <f>SUM('Busines Plan'!K47:M47)</f>
        <v>675</v>
      </c>
      <c r="F27" s="79">
        <f>SUM('Busines Plan'!N47:P47)</f>
        <v>675</v>
      </c>
      <c r="G27" s="79">
        <f t="shared" si="0"/>
        <v>2700</v>
      </c>
    </row>
    <row r="28" spans="1:7" ht="3" customHeight="1">
      <c r="A28" s="77"/>
    </row>
    <row r="29" spans="1:7" ht="16.149999999999999" thickBot="1">
      <c r="A29" s="77"/>
      <c r="B29" s="78" t="s">
        <v>110</v>
      </c>
      <c r="C29" s="79">
        <f>SUM(C12:C27)</f>
        <v>61441.288743288744</v>
      </c>
      <c r="D29" s="79">
        <f>SUM(D12:D27)</f>
        <v>76041.953608153606</v>
      </c>
      <c r="E29" s="79">
        <f>SUM(E12:E27)</f>
        <v>98540.55450905452</v>
      </c>
      <c r="F29" s="79">
        <f>SUM(F12:F27)</f>
        <v>106670.08211848213</v>
      </c>
      <c r="G29" s="79">
        <f>SUM(G12:G28)</f>
        <v>342693.87897897896</v>
      </c>
    </row>
    <row r="30" spans="1:7" ht="6" customHeight="1">
      <c r="A30" s="26"/>
      <c r="B30" s="22"/>
    </row>
    <row r="31" spans="1:7" ht="16.149999999999999" thickBot="1">
      <c r="A31" s="76" t="s">
        <v>111</v>
      </c>
      <c r="B31" s="22"/>
      <c r="C31" s="79">
        <f>+C9-C29</f>
        <v>-12269.664846664869</v>
      </c>
      <c r="D31" s="79">
        <f>+D9-D29</f>
        <v>83833.589207389174</v>
      </c>
      <c r="E31" s="79">
        <f>+E9-E29</f>
        <v>118520.37118937116</v>
      </c>
      <c r="F31" s="79">
        <f>+F9-F29</f>
        <v>150855.16631176628</v>
      </c>
      <c r="G31" s="79">
        <f>+G9-G29</f>
        <v>340939.46186186175</v>
      </c>
    </row>
    <row r="32" spans="1:7" ht="7.5" customHeight="1">
      <c r="A32" s="26"/>
      <c r="B32" s="22"/>
    </row>
    <row r="33" spans="1:7" ht="16.149999999999999" thickBot="1">
      <c r="A33" s="76" t="s">
        <v>112</v>
      </c>
      <c r="B33"/>
      <c r="C33" s="79">
        <f>+C31</f>
        <v>-12269.664846664869</v>
      </c>
      <c r="D33" s="79">
        <f>+C33+D31</f>
        <v>71563.924360724312</v>
      </c>
      <c r="E33" s="79">
        <f>+D33+E31</f>
        <v>190084.29555009547</v>
      </c>
      <c r="F33" s="79">
        <f>+E33+F31</f>
        <v>340939.46186186175</v>
      </c>
    </row>
    <row r="36" spans="1:7">
      <c r="A36" s="77" t="s">
        <v>118</v>
      </c>
    </row>
    <row r="38" spans="1:7" ht="16.149999999999999" thickBot="1">
      <c r="C38" s="81" t="s">
        <v>114</v>
      </c>
      <c r="D38" s="81" t="s">
        <v>115</v>
      </c>
      <c r="E38" s="81" t="s">
        <v>116</v>
      </c>
      <c r="F38" s="81" t="s">
        <v>117</v>
      </c>
      <c r="G38" s="81" t="s">
        <v>72</v>
      </c>
    </row>
    <row r="39" spans="1:7" ht="8.25" customHeight="1">
      <c r="C39" s="80"/>
    </row>
    <row r="40" spans="1:7">
      <c r="A40" s="77" t="s">
        <v>77</v>
      </c>
      <c r="C40" s="21">
        <f>SUM('Busines Plan'!E70:G70)</f>
        <v>658025.29802529793</v>
      </c>
      <c r="D40" s="21">
        <f>SUM('Busines Plan'!H70:J70)</f>
        <v>664752.02475202468</v>
      </c>
      <c r="E40" s="21">
        <f>SUM('Busines Plan'!K70:M70)</f>
        <v>671478.75147875142</v>
      </c>
      <c r="F40" s="21">
        <f>SUM('Busines Plan'!N70:P70)</f>
        <v>678205.47820547817</v>
      </c>
      <c r="G40" s="21">
        <f>SUM(C40:F40)</f>
        <v>2672461.552461552</v>
      </c>
    </row>
    <row r="41" spans="1:7">
      <c r="A41" s="77"/>
    </row>
    <row r="42" spans="1:7" ht="16.149999999999999" thickBot="1">
      <c r="A42" s="77" t="s">
        <v>83</v>
      </c>
      <c r="C42" s="79">
        <f>SUM('Busines Plan'!E81:G81)</f>
        <v>374236.46191646194</v>
      </c>
      <c r="D42" s="79">
        <f>SUM('Busines Plan'!H81:J81)</f>
        <v>374236.46191646194</v>
      </c>
      <c r="E42" s="79">
        <f>SUM('Busines Plan'!K81:M81)</f>
        <v>374236.46191646194</v>
      </c>
      <c r="F42" s="79">
        <f>SUM('Busines Plan'!N81:P81)</f>
        <v>374236.46191646194</v>
      </c>
      <c r="G42" s="79">
        <f>SUM(C42:F42)</f>
        <v>1496945.8476658477</v>
      </c>
    </row>
    <row r="43" spans="1:7">
      <c r="A43" s="77"/>
    </row>
    <row r="44" spans="1:7" ht="16.149999999999999" thickBot="1">
      <c r="A44" s="77" t="s">
        <v>92</v>
      </c>
      <c r="C44" s="79">
        <f>+C40-C42</f>
        <v>283788.836108836</v>
      </c>
      <c r="D44" s="79">
        <f>+D40-D42</f>
        <v>290515.56283556274</v>
      </c>
      <c r="E44" s="79">
        <f>+E40-E42</f>
        <v>297242.28956228949</v>
      </c>
      <c r="F44" s="79">
        <f>+F40-F42</f>
        <v>303969.01628901623</v>
      </c>
      <c r="G44" s="79">
        <f>+G40-G42</f>
        <v>1175515.7047957042</v>
      </c>
    </row>
    <row r="46" spans="1:7">
      <c r="A46" s="76" t="s">
        <v>93</v>
      </c>
      <c r="C46"/>
    </row>
    <row r="47" spans="1:7">
      <c r="A47" s="77"/>
      <c r="B47" s="78" t="s">
        <v>94</v>
      </c>
      <c r="C47" s="21">
        <f>SUM('Busines Plan'!E86:G86)</f>
        <v>12727.272727272726</v>
      </c>
      <c r="D47" s="21">
        <f>SUM('Busines Plan'!H86:J86)</f>
        <v>12727.272727272726</v>
      </c>
      <c r="E47" s="21">
        <f>SUM('Busines Plan'!K86:M86)</f>
        <v>12727.272727272726</v>
      </c>
      <c r="F47" s="21">
        <f>SUM('Busines Plan'!N86:P86)</f>
        <v>12727.272727272726</v>
      </c>
      <c r="G47" s="21">
        <f>SUM(C47:F47)</f>
        <v>50909.090909090904</v>
      </c>
    </row>
    <row r="48" spans="1:7">
      <c r="A48" s="77"/>
      <c r="B48" s="78" t="s">
        <v>95</v>
      </c>
      <c r="C48" s="21">
        <f>SUM('Busines Plan'!E87:G87)</f>
        <v>8100</v>
      </c>
      <c r="D48" s="21">
        <f>SUM('Busines Plan'!H87:J87)</f>
        <v>8100</v>
      </c>
      <c r="E48" s="21">
        <f>SUM('Busines Plan'!K87:M87)</f>
        <v>8100</v>
      </c>
      <c r="F48" s="21">
        <f>SUM('Busines Plan'!N87:P87)</f>
        <v>8100</v>
      </c>
      <c r="G48" s="21">
        <f t="shared" ref="G48:G62" si="1">SUM(C48:F48)</f>
        <v>32400</v>
      </c>
    </row>
    <row r="49" spans="1:7">
      <c r="A49" s="77"/>
      <c r="B49" s="78" t="s">
        <v>96</v>
      </c>
      <c r="C49" s="21">
        <f>SUM('Busines Plan'!E88:G88)</f>
        <v>450</v>
      </c>
      <c r="D49" s="21">
        <f>SUM('Busines Plan'!H88:J88)</f>
        <v>450</v>
      </c>
      <c r="E49" s="21">
        <f>SUM('Busines Plan'!K88:M88)</f>
        <v>450</v>
      </c>
      <c r="F49" s="21">
        <f>SUM('Busines Plan'!N88:P88)</f>
        <v>450</v>
      </c>
      <c r="G49" s="21">
        <f t="shared" si="1"/>
        <v>1800</v>
      </c>
    </row>
    <row r="50" spans="1:7">
      <c r="A50" s="77"/>
      <c r="B50" s="78" t="s">
        <v>97</v>
      </c>
      <c r="C50" s="21">
        <f>SUM('Busines Plan'!E89:G89)</f>
        <v>9000</v>
      </c>
      <c r="D50" s="21">
        <f>SUM('Busines Plan'!H89:J89)</f>
        <v>9000</v>
      </c>
      <c r="E50" s="21">
        <f>SUM('Busines Plan'!K89:M89)</f>
        <v>9000</v>
      </c>
      <c r="F50" s="21">
        <f>SUM('Busines Plan'!N89:P89)</f>
        <v>9000</v>
      </c>
      <c r="G50" s="21">
        <f t="shared" si="1"/>
        <v>36000</v>
      </c>
    </row>
    <row r="51" spans="1:7">
      <c r="A51" s="77"/>
      <c r="B51" s="78" t="s">
        <v>98</v>
      </c>
      <c r="C51" s="21">
        <f>SUM('Busines Plan'!E90:G90)</f>
        <v>2400</v>
      </c>
      <c r="D51" s="21">
        <f>SUM('Busines Plan'!H90:J90)</f>
        <v>2400</v>
      </c>
      <c r="E51" s="21">
        <f>SUM('Busines Plan'!K90:M90)</f>
        <v>2400</v>
      </c>
      <c r="F51" s="21">
        <f>SUM('Busines Plan'!N90:P90)</f>
        <v>2400</v>
      </c>
      <c r="G51" s="21">
        <f t="shared" si="1"/>
        <v>9600</v>
      </c>
    </row>
    <row r="52" spans="1:7">
      <c r="A52" s="77"/>
      <c r="B52" s="78" t="s">
        <v>99</v>
      </c>
      <c r="C52" s="21">
        <f>SUM('Busines Plan'!E91:G91)</f>
        <v>450</v>
      </c>
      <c r="D52" s="21">
        <f>SUM('Busines Plan'!H91:J91)</f>
        <v>450</v>
      </c>
      <c r="E52" s="21">
        <f>SUM('Busines Plan'!K91:M91)</f>
        <v>450</v>
      </c>
      <c r="F52" s="21">
        <f>SUM('Busines Plan'!N91:P91)</f>
        <v>450</v>
      </c>
      <c r="G52" s="21">
        <f t="shared" si="1"/>
        <v>1800</v>
      </c>
    </row>
    <row r="53" spans="1:7">
      <c r="A53" s="77"/>
      <c r="B53" s="78" t="s">
        <v>100</v>
      </c>
      <c r="C53" s="21">
        <f>SUM('Busines Plan'!E92:G92)</f>
        <v>1200</v>
      </c>
      <c r="D53" s="21">
        <f>SUM('Busines Plan'!H92:J92)</f>
        <v>1200</v>
      </c>
      <c r="E53" s="21">
        <f>SUM('Busines Plan'!K92:M92)</f>
        <v>1200</v>
      </c>
      <c r="F53" s="21">
        <f>SUM('Busines Plan'!N92:P92)</f>
        <v>1200</v>
      </c>
      <c r="G53" s="21">
        <f t="shared" si="1"/>
        <v>4800</v>
      </c>
    </row>
    <row r="54" spans="1:7">
      <c r="A54" s="77"/>
      <c r="B54" s="78" t="s">
        <v>101</v>
      </c>
      <c r="C54" s="21">
        <f>SUM('Busines Plan'!E93:G93)</f>
        <v>1200</v>
      </c>
      <c r="D54" s="21">
        <f>SUM('Busines Plan'!H93:J93)</f>
        <v>1200</v>
      </c>
      <c r="E54" s="21">
        <f>SUM('Busines Plan'!K93:M93)</f>
        <v>1200</v>
      </c>
      <c r="F54" s="21">
        <f>SUM('Busines Plan'!N93:P93)</f>
        <v>1200</v>
      </c>
      <c r="G54" s="21">
        <f t="shared" si="1"/>
        <v>4800</v>
      </c>
    </row>
    <row r="55" spans="1:7">
      <c r="A55" s="77"/>
      <c r="B55" s="78" t="s">
        <v>102</v>
      </c>
      <c r="C55" s="21">
        <f>SUM('Busines Plan'!E94:G94)</f>
        <v>20678.400000000001</v>
      </c>
      <c r="D55" s="21">
        <f>SUM('Busines Plan'!H94:J94)</f>
        <v>20678.400000000001</v>
      </c>
      <c r="E55" s="21">
        <f>SUM('Busines Plan'!K94:M94)</f>
        <v>20678.400000000001</v>
      </c>
      <c r="F55" s="21">
        <f>SUM('Busines Plan'!N94:P94)</f>
        <v>20678.400000000001</v>
      </c>
      <c r="G55" s="21">
        <f t="shared" si="1"/>
        <v>82713.600000000006</v>
      </c>
    </row>
    <row r="56" spans="1:7">
      <c r="A56" s="77"/>
      <c r="B56" s="78" t="s">
        <v>103</v>
      </c>
      <c r="C56" s="21">
        <f>SUM('Busines Plan'!E95:G95)</f>
        <v>450</v>
      </c>
      <c r="D56" s="21">
        <f>SUM('Busines Plan'!H95:J95)</f>
        <v>450</v>
      </c>
      <c r="E56" s="21">
        <f>SUM('Busines Plan'!K95:M95)</f>
        <v>450</v>
      </c>
      <c r="F56" s="21">
        <f>SUM('Busines Plan'!N95:P95)</f>
        <v>450</v>
      </c>
      <c r="G56" s="21">
        <f t="shared" si="1"/>
        <v>1800</v>
      </c>
    </row>
    <row r="57" spans="1:7">
      <c r="A57" s="77"/>
      <c r="B57" s="78" t="s">
        <v>104</v>
      </c>
      <c r="C57" s="21">
        <f>SUM('Busines Plan'!E96:G96)</f>
        <v>7500</v>
      </c>
      <c r="D57" s="21">
        <f>SUM('Busines Plan'!H96:J96)</f>
        <v>7500</v>
      </c>
      <c r="E57" s="21">
        <f>SUM('Busines Plan'!K96:M96)</f>
        <v>7500</v>
      </c>
      <c r="F57" s="21">
        <f>SUM('Busines Plan'!N96:P96)</f>
        <v>7500</v>
      </c>
      <c r="G57" s="21">
        <f t="shared" si="1"/>
        <v>30000</v>
      </c>
    </row>
    <row r="58" spans="1:7">
      <c r="A58" s="77"/>
      <c r="B58" s="78" t="s">
        <v>105</v>
      </c>
      <c r="C58" s="21">
        <f>SUM('Busines Plan'!E97:G97)</f>
        <v>1200</v>
      </c>
      <c r="D58" s="21">
        <f>SUM('Busines Plan'!H97:J97)</f>
        <v>1200</v>
      </c>
      <c r="E58" s="21">
        <f>SUM('Busines Plan'!K97:M97)</f>
        <v>1200</v>
      </c>
      <c r="F58" s="21">
        <f>SUM('Busines Plan'!N97:P97)</f>
        <v>1200</v>
      </c>
      <c r="G58" s="21">
        <f t="shared" si="1"/>
        <v>4800</v>
      </c>
    </row>
    <row r="59" spans="1:7">
      <c r="A59" s="77"/>
      <c r="B59" s="78" t="s">
        <v>106</v>
      </c>
      <c r="C59" s="21">
        <f>SUM('Busines Plan'!E98:G98)</f>
        <v>39300</v>
      </c>
      <c r="D59" s="21">
        <f>SUM('Busines Plan'!H98:J98)</f>
        <v>39300</v>
      </c>
      <c r="E59" s="21">
        <f>SUM('Busines Plan'!K98:M98)</f>
        <v>39300</v>
      </c>
      <c r="F59" s="21">
        <f>SUM('Busines Plan'!N98:P98)</f>
        <v>39300</v>
      </c>
      <c r="G59" s="21">
        <f t="shared" si="1"/>
        <v>157200</v>
      </c>
    </row>
    <row r="60" spans="1:7">
      <c r="A60" s="77"/>
      <c r="B60" s="78" t="s">
        <v>107</v>
      </c>
      <c r="C60" s="21">
        <f>SUM('Busines Plan'!E99:G99)</f>
        <v>6750</v>
      </c>
      <c r="D60" s="21">
        <f>SUM('Busines Plan'!H99:J99)</f>
        <v>6750</v>
      </c>
      <c r="E60" s="21">
        <f>SUM('Busines Plan'!K99:M99)</f>
        <v>6750</v>
      </c>
      <c r="F60" s="21">
        <f>SUM('Busines Plan'!N99:P99)</f>
        <v>6750</v>
      </c>
      <c r="G60" s="21">
        <f t="shared" si="1"/>
        <v>27000</v>
      </c>
    </row>
    <row r="61" spans="1:7">
      <c r="A61" s="77"/>
      <c r="B61" s="78" t="s">
        <v>108</v>
      </c>
      <c r="C61" s="21">
        <f>SUM('Busines Plan'!E100:G100)</f>
        <v>1800</v>
      </c>
      <c r="D61" s="21">
        <f>SUM('Busines Plan'!H100:J100)</f>
        <v>1800</v>
      </c>
      <c r="E61" s="21">
        <f>SUM('Busines Plan'!K100:M100)</f>
        <v>1800</v>
      </c>
      <c r="F61" s="21">
        <f>SUM('Busines Plan'!N100:P100)</f>
        <v>1800</v>
      </c>
      <c r="G61" s="21">
        <f t="shared" si="1"/>
        <v>7200</v>
      </c>
    </row>
    <row r="62" spans="1:7" ht="16.149999999999999" thickBot="1">
      <c r="A62" s="77"/>
      <c r="B62" s="78" t="s">
        <v>109</v>
      </c>
      <c r="C62" s="79">
        <f>SUM('Busines Plan'!E101:G101)</f>
        <v>1050</v>
      </c>
      <c r="D62" s="79">
        <f>SUM('Busines Plan'!H101:J101)</f>
        <v>1050</v>
      </c>
      <c r="E62" s="79">
        <f>SUM('Busines Plan'!K101:M101)</f>
        <v>1050</v>
      </c>
      <c r="F62" s="79">
        <f>SUM('Busines Plan'!N101:P101)</f>
        <v>1050</v>
      </c>
      <c r="G62" s="79">
        <f t="shared" si="1"/>
        <v>4200</v>
      </c>
    </row>
    <row r="63" spans="1:7" ht="6" customHeight="1">
      <c r="A63" s="77"/>
    </row>
    <row r="64" spans="1:7" ht="16.149999999999999" thickBot="1">
      <c r="A64" s="77"/>
      <c r="B64" s="78" t="s">
        <v>110</v>
      </c>
      <c r="C64" s="79">
        <f>SUM(C47:C62)</f>
        <v>114255.67272727273</v>
      </c>
      <c r="D64" s="79">
        <f>SUM(D47:D62)</f>
        <v>114255.67272727273</v>
      </c>
      <c r="E64" s="79">
        <f>SUM(E47:E62)</f>
        <v>114255.67272727273</v>
      </c>
      <c r="F64" s="79">
        <f>SUM(F47:F62)</f>
        <v>114255.67272727273</v>
      </c>
      <c r="G64" s="79">
        <f>SUM(G47:G62)</f>
        <v>457022.69090909092</v>
      </c>
    </row>
    <row r="65" spans="1:7" ht="6" customHeight="1">
      <c r="A65" s="26"/>
      <c r="B65" s="22"/>
    </row>
    <row r="66" spans="1:7" ht="16.149999999999999" thickBot="1">
      <c r="A66" s="76" t="s">
        <v>111</v>
      </c>
      <c r="B66" s="22"/>
      <c r="C66" s="79">
        <f>+C44-C64</f>
        <v>169533.16338156327</v>
      </c>
      <c r="D66" s="79">
        <f>+D44-D64</f>
        <v>176259.89010829001</v>
      </c>
      <c r="E66" s="79">
        <f>+E44-E64</f>
        <v>182986.61683501676</v>
      </c>
      <c r="F66" s="79">
        <f>+F44-F64</f>
        <v>189713.3435617435</v>
      </c>
      <c r="G66" s="79">
        <f>+G44-G64</f>
        <v>718493.01388661331</v>
      </c>
    </row>
    <row r="67" spans="1:7" ht="7.5" customHeight="1">
      <c r="A67" s="26"/>
      <c r="B67" s="22"/>
    </row>
    <row r="68" spans="1:7" ht="16.149999999999999" thickBot="1">
      <c r="A68" s="76" t="s">
        <v>112</v>
      </c>
      <c r="B68"/>
      <c r="C68" s="79">
        <f>+C66</f>
        <v>169533.16338156327</v>
      </c>
      <c r="D68" s="79">
        <f>+D66+C68</f>
        <v>345793.05348985328</v>
      </c>
      <c r="E68" s="79">
        <f>+E66+D68</f>
        <v>528779.67032487004</v>
      </c>
      <c r="F68" s="79">
        <f>+F66+E68</f>
        <v>718493.01388661354</v>
      </c>
    </row>
  </sheetData>
  <sheetProtection selectLockedCells="1"/>
  <phoneticPr fontId="5" type="noConversion"/>
  <pageMargins left="0.75" right="0.75" top="1.5" bottom="1" header="0.5" footer="0.5"/>
  <pageSetup orientation="portrait" r:id="rId1"/>
  <headerFooter alignWithMargins="0"/>
  <rowBreaks count="1" manualBreakCount="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32A8FB8169A24A9A5E1E855EC71BC7" ma:contentTypeVersion="17" ma:contentTypeDescription="Create a new document." ma:contentTypeScope="" ma:versionID="3d02c29b85a91a5e358352253e9fee9a">
  <xsd:schema xmlns:xsd="http://www.w3.org/2001/XMLSchema" xmlns:xs="http://www.w3.org/2001/XMLSchema" xmlns:p="http://schemas.microsoft.com/office/2006/metadata/properties" xmlns:ns2="4ce8ece6-96f7-49e0-99d9-b567ddc75ee6" xmlns:ns3="a9c6a71f-2536-43ce-8a3d-2bfd5ac0c39e" targetNamespace="http://schemas.microsoft.com/office/2006/metadata/properties" ma:root="true" ma:fieldsID="e635109a05db6656cf9fbca261b5f8f8" ns2:_="" ns3:_="">
    <xsd:import namespace="4ce8ece6-96f7-49e0-99d9-b567ddc75ee6"/>
    <xsd:import namespace="a9c6a71f-2536-43ce-8a3d-2bfd5ac0c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8ece6-96f7-49e0-99d9-b567ddc75ee6"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96bea75-0b74-4580-beec-c5a3b6303874}" ma:internalName="TaxCatchAll" ma:showField="CatchAllData" ma:web="4ce8ece6-96f7-49e0-99d9-b567ddc75e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c6a71f-2536-43ce-8a3d-2bfd5ac0c3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4d1650-804a-4971-8a09-f7abde33824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ce8ece6-96f7-49e0-99d9-b567ddc75ee6" xsi:nil="true"/>
    <lcf76f155ced4ddcb4097134ff3c332f xmlns="a9c6a71f-2536-43ce-8a3d-2bfd5ac0c39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FAF94A-3009-42F6-B6ED-9C6BF46FECDF}"/>
</file>

<file path=customXml/itemProps2.xml><?xml version="1.0" encoding="utf-8"?>
<ds:datastoreItem xmlns:ds="http://schemas.openxmlformats.org/officeDocument/2006/customXml" ds:itemID="{F6D367F0-7A15-4119-96AA-6444E886CA6E}"/>
</file>

<file path=customXml/itemProps3.xml><?xml version="1.0" encoding="utf-8"?>
<ds:datastoreItem xmlns:ds="http://schemas.openxmlformats.org/officeDocument/2006/customXml" ds:itemID="{31FC0E6E-BEBA-4DCF-9449-0D4CEF184D9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debbie.mitchell@waterlogicusa.com</dc:creator>
  <cp:keywords/>
  <dc:description/>
  <cp:lastModifiedBy>Marvin Salganov</cp:lastModifiedBy>
  <cp:revision/>
  <dcterms:created xsi:type="dcterms:W3CDTF">1998-10-30T19:17:59Z</dcterms:created>
  <dcterms:modified xsi:type="dcterms:W3CDTF">2022-12-12T19:10:30Z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0x010100A232A8FB8169A24A9A5E1E855EC71BC7</vt:lpwstr>
  </property>
  <property fmtid="{D5CDD505-2E9C-101B-9397-08002B2CF9AE}" pid="3" name="MediaServiceImageTags">
    <vt:lpwstr/>
  </property>
</Properties>
</file>